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3044544\Work Folders\Ohjelmakauden 2021- valmistelu\Ympäristöasiat I ja II pilari\Ympäristövaikuttavuus\Aineisto verkkoon\"/>
    </mc:Choice>
  </mc:AlternateContent>
  <bookViews>
    <workbookView xWindow="-105" yWindow="-105" windowWidth="23265" windowHeight="12585"/>
  </bookViews>
  <sheets>
    <sheet name="Lue tämä ensin" sheetId="22" r:id="rId1"/>
    <sheet name="toimet" sheetId="1" r:id="rId2"/>
    <sheet name="kokooma" sheetId="20" r:id="rId3"/>
    <sheet name="nurmet_kerääjäk_maanparannusk" sheetId="3" r:id="rId4"/>
    <sheet name="lietelannan sijoittaminen" sheetId="21" r:id="rId5"/>
    <sheet name="huuhtouma" sheetId="11" r:id="rId6"/>
    <sheet name="raivaus" sheetId="2" r:id="rId7"/>
    <sheet name="valumavesien_hallinta" sheetId="12" r:id="rId8"/>
    <sheet name="kosteikot" sheetId="17" r:id="rId9"/>
    <sheet name="org&amp;wetland_päästökertoimet" sheetId="8" r:id="rId10"/>
    <sheet name="CRF4.1" sheetId="14" r:id="rId11"/>
    <sheet name="CRF4A" sheetId="13" r:id="rId12"/>
    <sheet name="CRF4(II)" sheetId="16" r:id="rId13"/>
    <sheet name="CRF4(III)" sheetId="15" r:id="rId14"/>
    <sheet name="CRF4B" sheetId="5" r:id="rId15"/>
    <sheet name="CRF3D" sheetId="6" r:id="rId16"/>
    <sheet name="ympkorv_maatalousmaan_" sheetId="10" r:id="rId17"/>
    <sheet name="GWP" sheetId="7" r:id="rId18"/>
  </sheets>
  <externalReferences>
    <externalReference r:id="rId19"/>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3" l="1"/>
  <c r="H29" i="20" l="1"/>
  <c r="F46" i="20" s="1"/>
  <c r="H33" i="20"/>
  <c r="H30" i="20"/>
  <c r="H14" i="20"/>
  <c r="H3" i="20"/>
  <c r="D14" i="12"/>
  <c r="I14" i="12" s="1"/>
  <c r="M14" i="12" s="1"/>
  <c r="L14" i="12" s="1"/>
  <c r="G50" i="2"/>
  <c r="C50" i="2"/>
  <c r="D50" i="2"/>
  <c r="E50" i="2"/>
  <c r="F50" i="2"/>
  <c r="B50" i="2"/>
  <c r="B44" i="2"/>
  <c r="C22" i="17"/>
  <c r="C21" i="17"/>
  <c r="K9" i="3"/>
  <c r="F19" i="11"/>
  <c r="H19" i="11"/>
  <c r="G19" i="11" s="1"/>
  <c r="B19" i="11"/>
  <c r="E19" i="11"/>
  <c r="B18" i="11"/>
  <c r="E18" i="11"/>
  <c r="F18" i="11" s="1"/>
  <c r="H18" i="11" s="1"/>
  <c r="G18" i="11" s="1"/>
  <c r="N20" i="8"/>
  <c r="J20" i="8"/>
  <c r="K20" i="8"/>
  <c r="B22" i="17"/>
  <c r="B21" i="17"/>
  <c r="J15" i="8" l="1"/>
  <c r="K15" i="8"/>
  <c r="J17" i="8"/>
  <c r="K17" i="8"/>
  <c r="J2" i="8"/>
  <c r="K2" i="8"/>
  <c r="J3" i="8"/>
  <c r="K3" i="8"/>
  <c r="J4" i="8"/>
  <c r="K4" i="8"/>
  <c r="J6" i="8"/>
  <c r="K6" i="8"/>
  <c r="J7" i="8"/>
  <c r="K7" i="8"/>
  <c r="J8" i="8"/>
  <c r="K8" i="8"/>
  <c r="J10" i="8"/>
  <c r="K10" i="8"/>
  <c r="J11" i="8"/>
  <c r="K11" i="8"/>
  <c r="K12" i="8"/>
  <c r="J12" i="8"/>
  <c r="K13" i="8"/>
  <c r="K14" i="8"/>
  <c r="J14" i="8"/>
  <c r="J13" i="8"/>
  <c r="N14" i="8"/>
  <c r="N13" i="8"/>
  <c r="K19" i="8" l="1"/>
  <c r="I19" i="8" s="1"/>
  <c r="J19" i="8"/>
  <c r="H19" i="8" s="1"/>
  <c r="B7" i="21" l="1"/>
  <c r="B1" i="21"/>
  <c r="B10" i="21" l="1"/>
  <c r="B11" i="21"/>
  <c r="B12" i="21" l="1"/>
  <c r="B14" i="21" s="1"/>
  <c r="C28" i="20" s="1"/>
  <c r="B13" i="21"/>
  <c r="B15" i="21" s="1"/>
  <c r="D28" i="20" s="1"/>
  <c r="B15" i="11" l="1"/>
  <c r="D27" i="20"/>
  <c r="C27" i="20"/>
  <c r="E6" i="1"/>
  <c r="P11" i="3"/>
  <c r="B6" i="11" l="1"/>
  <c r="B16" i="11"/>
  <c r="B12" i="11"/>
  <c r="B3" i="11"/>
  <c r="D11" i="11"/>
  <c r="B11" i="11" s="1"/>
  <c r="E12" i="11"/>
  <c r="F12" i="11" s="1"/>
  <c r="E3" i="11"/>
  <c r="F3" i="11" s="1"/>
  <c r="H12" i="11" l="1"/>
  <c r="G12" i="11" s="1"/>
  <c r="D25" i="20" s="1"/>
  <c r="C25" i="20"/>
  <c r="H3" i="11"/>
  <c r="G3" i="11" s="1"/>
  <c r="F26" i="2" l="1"/>
  <c r="S14" i="17" l="1"/>
  <c r="R13" i="17"/>
  <c r="S13" i="17" s="1"/>
  <c r="R12" i="17"/>
  <c r="S12" i="17" s="1"/>
  <c r="F17" i="6"/>
  <c r="R9" i="17" l="1"/>
  <c r="C29" i="17" s="1"/>
  <c r="R8" i="17"/>
  <c r="C28" i="17" s="1"/>
  <c r="R7" i="17"/>
  <c r="C27" i="17" s="1"/>
  <c r="P9" i="17"/>
  <c r="P8" i="17"/>
  <c r="P7" i="17"/>
  <c r="L7" i="17"/>
  <c r="L12" i="17" s="1"/>
  <c r="M7" i="17"/>
  <c r="M12" i="17" s="1"/>
  <c r="N7" i="17"/>
  <c r="N12" i="17" s="1"/>
  <c r="J7" i="17"/>
  <c r="K7" i="17"/>
  <c r="K12" i="17" s="1"/>
  <c r="S7" i="17" l="1"/>
  <c r="O7" i="17"/>
  <c r="D27" i="17" s="1"/>
  <c r="E27" i="17" s="1"/>
  <c r="J12" i="17"/>
  <c r="O12" i="17" s="1"/>
  <c r="S8" i="17"/>
  <c r="S9" i="17"/>
  <c r="T7" i="17" l="1"/>
  <c r="U7" i="17" s="1"/>
  <c r="Q12" i="17"/>
  <c r="T12" i="17"/>
  <c r="U12" i="17" s="1"/>
  <c r="Q7" i="17"/>
  <c r="K5" i="17"/>
  <c r="L5" i="17"/>
  <c r="M5" i="17"/>
  <c r="N5" i="17"/>
  <c r="K6" i="17"/>
  <c r="L6" i="17"/>
  <c r="M6" i="17"/>
  <c r="N6" i="17"/>
  <c r="J6" i="17"/>
  <c r="J5" i="17"/>
  <c r="C3" i="17"/>
  <c r="D3" i="17"/>
  <c r="E3" i="17"/>
  <c r="F3" i="17"/>
  <c r="L8" i="17" l="1"/>
  <c r="L13" i="17" s="1"/>
  <c r="K8" i="17"/>
  <c r="K13" i="17" s="1"/>
  <c r="M8" i="17"/>
  <c r="M13" i="17" s="1"/>
  <c r="J8" i="17"/>
  <c r="J13" i="17" s="1"/>
  <c r="N8" i="17"/>
  <c r="N13" i="17" s="1"/>
  <c r="K9" i="17"/>
  <c r="K14" i="17" s="1"/>
  <c r="N9" i="17"/>
  <c r="N14" i="17" s="1"/>
  <c r="L9" i="17"/>
  <c r="L14" i="17" s="1"/>
  <c r="J9" i="17"/>
  <c r="J14" i="17" s="1"/>
  <c r="M9" i="17"/>
  <c r="M14" i="17" s="1"/>
  <c r="O14" i="17" l="1"/>
  <c r="Q14" i="17" s="1"/>
  <c r="O13" i="17"/>
  <c r="O9" i="17"/>
  <c r="D29" i="17" s="1"/>
  <c r="E29" i="17" s="1"/>
  <c r="O8" i="17"/>
  <c r="D28" i="17" s="1"/>
  <c r="E28" i="17" s="1"/>
  <c r="E30" i="17" s="1"/>
  <c r="T14" i="17" l="1"/>
  <c r="U14" i="17" s="1"/>
  <c r="Q9" i="17"/>
  <c r="T9" i="17"/>
  <c r="U9" i="17" s="1"/>
  <c r="Q13" i="17"/>
  <c r="T13" i="17"/>
  <c r="U13" i="17" s="1"/>
  <c r="B15" i="17" s="1"/>
  <c r="B16" i="17" s="1"/>
  <c r="Q8" i="17"/>
  <c r="B17" i="11"/>
  <c r="T8" i="17"/>
  <c r="U8" i="17" s="1"/>
  <c r="B10" i="17" s="1"/>
  <c r="E17" i="11"/>
  <c r="F17" i="11" s="1"/>
  <c r="B11" i="17" l="1"/>
  <c r="E33" i="20" s="1"/>
  <c r="F33" i="20"/>
  <c r="B18" i="17"/>
  <c r="C33" i="20" s="1"/>
  <c r="H17" i="11"/>
  <c r="B17" i="17" s="1"/>
  <c r="D33" i="20" s="1"/>
  <c r="A5" i="12"/>
  <c r="C5" i="12" s="1"/>
  <c r="E9" i="12"/>
  <c r="E8" i="12"/>
  <c r="E16" i="11"/>
  <c r="F16" i="11" s="1"/>
  <c r="H16" i="11" s="1"/>
  <c r="K8" i="3" s="1"/>
  <c r="C4" i="12"/>
  <c r="C3" i="12"/>
  <c r="B17" i="2" l="1"/>
  <c r="B16" i="2" l="1"/>
  <c r="E4" i="11" l="1"/>
  <c r="F4" i="11" s="1"/>
  <c r="E8" i="11" l="1"/>
  <c r="F8" i="11" s="1"/>
  <c r="E5" i="11"/>
  <c r="F5" i="11"/>
  <c r="H5" i="11" s="1"/>
  <c r="G5" i="11" s="1"/>
  <c r="E11" i="11" l="1"/>
  <c r="F11" i="11" s="1"/>
  <c r="E6" i="11"/>
  <c r="F6" i="11" s="1"/>
  <c r="E2" i="11"/>
  <c r="F2" i="11" s="1"/>
  <c r="C2" i="20" s="1"/>
  <c r="H6" i="11" l="1"/>
  <c r="G6" i="11" s="1"/>
  <c r="D7" i="20" s="1"/>
  <c r="C7" i="20"/>
  <c r="H11" i="11"/>
  <c r="G11" i="11" s="1"/>
  <c r="C23" i="20"/>
  <c r="H2" i="11"/>
  <c r="G2" i="11" s="1"/>
  <c r="D2" i="20" s="1"/>
  <c r="B22" i="2"/>
  <c r="B21" i="2"/>
  <c r="B12" i="2"/>
  <c r="E32" i="2" s="1"/>
  <c r="B15" i="2"/>
  <c r="B32" i="2" l="1"/>
  <c r="C32" i="2"/>
  <c r="D33" i="2"/>
  <c r="C33" i="2"/>
  <c r="D32" i="2"/>
  <c r="F41" i="2"/>
  <c r="B33" i="2"/>
  <c r="F33" i="2"/>
  <c r="F32" i="2"/>
  <c r="E33" i="2"/>
  <c r="F38" i="2"/>
  <c r="C15" i="2"/>
  <c r="F51" i="2" l="1"/>
  <c r="F36" i="2"/>
  <c r="F45" i="2" s="1"/>
  <c r="J4" i="5" l="1"/>
  <c r="L11" i="3" l="1"/>
  <c r="H2" i="12" l="1"/>
  <c r="K2" i="12" s="1"/>
  <c r="I2" i="12"/>
  <c r="D30" i="20" l="1"/>
  <c r="J2" i="12"/>
  <c r="C30" i="20" s="1"/>
  <c r="M2" i="12"/>
  <c r="P7" i="3"/>
  <c r="L10" i="3"/>
  <c r="E7" i="11"/>
  <c r="F7" i="11" s="1"/>
  <c r="E13" i="11"/>
  <c r="F13" i="11" s="1"/>
  <c r="E15" i="11"/>
  <c r="F15" i="11" s="1"/>
  <c r="E10" i="11"/>
  <c r="F10" i="11" s="1"/>
  <c r="H10" i="11" s="1"/>
  <c r="E9" i="11"/>
  <c r="F9" i="11" s="1"/>
  <c r="H9" i="11" s="1"/>
  <c r="K5" i="3" l="1"/>
  <c r="G9" i="11"/>
  <c r="H7" i="11"/>
  <c r="G7" i="11" s="1"/>
  <c r="D13" i="20" s="1"/>
  <c r="C13" i="20"/>
  <c r="K6" i="3"/>
  <c r="G10" i="11"/>
  <c r="H15" i="11"/>
  <c r="G15" i="11" s="1"/>
  <c r="D38" i="20" s="1"/>
  <c r="C38" i="20"/>
  <c r="F30" i="20"/>
  <c r="L2" i="12"/>
  <c r="E30" i="20" s="1"/>
  <c r="U6" i="3"/>
  <c r="U19" i="3"/>
  <c r="G8" i="3" l="1"/>
  <c r="V19" i="3"/>
  <c r="U21" i="3"/>
  <c r="U23" i="3" s="1"/>
  <c r="V21" i="3"/>
  <c r="V23" i="3" s="1"/>
  <c r="E16" i="1" l="1"/>
  <c r="B9" i="3" s="1"/>
  <c r="D9" i="3" l="1"/>
  <c r="C9" i="3" s="1"/>
  <c r="G9" i="3" l="1"/>
  <c r="L9" i="3" s="1"/>
  <c r="B1" i="10"/>
  <c r="E11" i="1"/>
  <c r="E12" i="1"/>
  <c r="B11" i="3" s="1"/>
  <c r="G11" i="3" s="1"/>
  <c r="N11" i="3" s="1"/>
  <c r="E15" i="1"/>
  <c r="B8" i="3" s="1"/>
  <c r="AJ14" i="3"/>
  <c r="E9" i="3" s="1"/>
  <c r="AJ15" i="3"/>
  <c r="F9" i="3" s="1"/>
  <c r="N17" i="8"/>
  <c r="I16" i="8"/>
  <c r="K16" i="8" s="1"/>
  <c r="H16" i="8"/>
  <c r="G16" i="8"/>
  <c r="N16" i="8" s="1"/>
  <c r="N15" i="8"/>
  <c r="N19" i="8"/>
  <c r="N12" i="8"/>
  <c r="N11" i="8"/>
  <c r="N10" i="8"/>
  <c r="N9" i="8"/>
  <c r="N8" i="8"/>
  <c r="N7" i="8"/>
  <c r="B20" i="2" s="1"/>
  <c r="C20" i="2" s="1"/>
  <c r="N6" i="8"/>
  <c r="B19" i="2" s="1"/>
  <c r="C19" i="2" s="1"/>
  <c r="N5" i="8"/>
  <c r="N4" i="8"/>
  <c r="N3" i="8"/>
  <c r="N2" i="8"/>
  <c r="Q11" i="3" l="1"/>
  <c r="E27" i="20" s="1"/>
  <c r="R11" i="3"/>
  <c r="F27" i="20" s="1"/>
  <c r="H27" i="20" s="1"/>
  <c r="D8" i="3"/>
  <c r="F8" i="3"/>
  <c r="L8" i="3"/>
  <c r="J16" i="8"/>
  <c r="W1" i="3"/>
  <c r="H9" i="3" s="1"/>
  <c r="N9" i="3" s="1"/>
  <c r="W2" i="3"/>
  <c r="J8" i="3" s="1"/>
  <c r="M8" i="3" s="1"/>
  <c r="B13" i="2"/>
  <c r="C13" i="2" s="1"/>
  <c r="B14" i="2"/>
  <c r="C14" i="2" s="1"/>
  <c r="B13" i="11"/>
  <c r="H13" i="11" s="1"/>
  <c r="K10" i="3" s="1"/>
  <c r="M10" i="3" s="1"/>
  <c r="B10" i="3"/>
  <c r="H8" i="3" l="1"/>
  <c r="R9" i="3"/>
  <c r="F43" i="20" s="1"/>
  <c r="H43" i="20" s="1"/>
  <c r="Q9" i="3"/>
  <c r="E43" i="20" s="1"/>
  <c r="O8" i="3"/>
  <c r="C29" i="20" s="1"/>
  <c r="P8" i="3"/>
  <c r="D29" i="20" s="1"/>
  <c r="P10" i="3"/>
  <c r="D26" i="20" s="1"/>
  <c r="O10" i="3"/>
  <c r="C26" i="20" s="1"/>
  <c r="G10" i="3"/>
  <c r="N10" i="3" s="1"/>
  <c r="R10" i="3" s="1"/>
  <c r="F26" i="20" s="1"/>
  <c r="H26" i="20" s="1"/>
  <c r="J9" i="3"/>
  <c r="M9" i="3" s="1"/>
  <c r="Q10" i="3" l="1"/>
  <c r="E26" i="20" s="1"/>
  <c r="P9" i="3"/>
  <c r="D43" i="20" s="1"/>
  <c r="O9" i="3"/>
  <c r="C43" i="20" s="1"/>
  <c r="K4" i="5"/>
  <c r="E4" i="5"/>
  <c r="N8" i="3" l="1"/>
  <c r="C27" i="2"/>
  <c r="D27" i="2"/>
  <c r="E27" i="2"/>
  <c r="F27" i="2"/>
  <c r="B27" i="2"/>
  <c r="C29" i="2"/>
  <c r="D29" i="2"/>
  <c r="E29" i="2"/>
  <c r="F29" i="2"/>
  <c r="B29" i="2"/>
  <c r="C30" i="2" s="1"/>
  <c r="B30" i="2"/>
  <c r="C26" i="2"/>
  <c r="D26" i="2"/>
  <c r="E26" i="2"/>
  <c r="B26" i="2"/>
  <c r="L2" i="2"/>
  <c r="M2" i="2"/>
  <c r="N2" i="2"/>
  <c r="O2" i="2"/>
  <c r="L3" i="2"/>
  <c r="M3" i="2"/>
  <c r="N3" i="2"/>
  <c r="O3" i="2"/>
  <c r="K3" i="2"/>
  <c r="K2" i="2"/>
  <c r="R8" i="3" l="1"/>
  <c r="F29" i="20" s="1"/>
  <c r="Q8" i="3"/>
  <c r="E29" i="20" s="1"/>
  <c r="C41" i="2"/>
  <c r="C38" i="2"/>
  <c r="C36" i="2"/>
  <c r="C45" i="2" s="1"/>
  <c r="D41" i="2"/>
  <c r="D38" i="2"/>
  <c r="D36" i="2"/>
  <c r="B41" i="2"/>
  <c r="B51" i="2" s="1"/>
  <c r="B38" i="2"/>
  <c r="B36" i="2"/>
  <c r="B40" i="2"/>
  <c r="B35" i="2"/>
  <c r="E41" i="2"/>
  <c r="E38" i="2"/>
  <c r="E36" i="2"/>
  <c r="C40" i="2"/>
  <c r="C35" i="2"/>
  <c r="D30" i="2"/>
  <c r="E30" i="2"/>
  <c r="F30" i="2"/>
  <c r="F28" i="2"/>
  <c r="E28" i="2"/>
  <c r="D28" i="2"/>
  <c r="B28" i="2"/>
  <c r="C28" i="2"/>
  <c r="D5" i="1"/>
  <c r="C5" i="1"/>
  <c r="B45" i="2" l="1"/>
  <c r="C51" i="2"/>
  <c r="E51" i="2"/>
  <c r="D51" i="2"/>
  <c r="E39" i="2"/>
  <c r="E34" i="2"/>
  <c r="D39" i="2"/>
  <c r="D34" i="2"/>
  <c r="E45" i="2"/>
  <c r="D45" i="2"/>
  <c r="C39" i="2"/>
  <c r="C46" i="2" s="1"/>
  <c r="C34" i="2"/>
  <c r="C44" i="2" s="1"/>
  <c r="F39" i="2"/>
  <c r="F34" i="2"/>
  <c r="E40" i="2"/>
  <c r="E35" i="2"/>
  <c r="B39" i="2"/>
  <c r="B46" i="2" s="1"/>
  <c r="B34" i="2"/>
  <c r="F40" i="2"/>
  <c r="F35" i="2"/>
  <c r="D40" i="2"/>
  <c r="D35" i="2"/>
  <c r="E5" i="1"/>
  <c r="G45" i="2" l="1"/>
  <c r="G47" i="2" s="1"/>
  <c r="G51" i="2"/>
  <c r="B4" i="11"/>
  <c r="H4" i="11" s="1"/>
  <c r="B3" i="3"/>
  <c r="F46" i="2"/>
  <c r="D46" i="2"/>
  <c r="F44" i="2"/>
  <c r="E44" i="2"/>
  <c r="H45" i="2"/>
  <c r="I45" i="2" s="1"/>
  <c r="J45" i="2" s="1"/>
  <c r="J47" i="2" s="1"/>
  <c r="D44" i="2"/>
  <c r="E46" i="2"/>
  <c r="C10" i="1"/>
  <c r="E10" i="1" s="1"/>
  <c r="B7" i="3" s="1"/>
  <c r="C8" i="1"/>
  <c r="E8" i="1" s="1"/>
  <c r="B6" i="3" s="1"/>
  <c r="C7" i="1"/>
  <c r="E7" i="1" s="1"/>
  <c r="B5" i="3" s="1"/>
  <c r="D4" i="1"/>
  <c r="D3" i="1"/>
  <c r="C4" i="1"/>
  <c r="C3" i="1"/>
  <c r="F14" i="20" l="1"/>
  <c r="E14" i="20"/>
  <c r="C6" i="3"/>
  <c r="D6" i="3"/>
  <c r="F6" i="3" s="1"/>
  <c r="E3" i="1"/>
  <c r="O7" i="3"/>
  <c r="C7" i="3"/>
  <c r="D7" i="3"/>
  <c r="F7" i="3" s="1"/>
  <c r="E4" i="1"/>
  <c r="D3" i="3"/>
  <c r="C3" i="3"/>
  <c r="D5" i="3"/>
  <c r="F5" i="3" s="1"/>
  <c r="C5" i="3"/>
  <c r="G4" i="11"/>
  <c r="K3" i="3"/>
  <c r="G46" i="2"/>
  <c r="G48" i="2" s="1"/>
  <c r="D3" i="20" s="1"/>
  <c r="H46" i="2"/>
  <c r="I46" i="2" s="1"/>
  <c r="J46" i="2" s="1"/>
  <c r="J48" i="2" s="1"/>
  <c r="C3" i="20" s="1"/>
  <c r="G44" i="2"/>
  <c r="F3" i="20" s="1"/>
  <c r="H44" i="2"/>
  <c r="I44" i="2" s="1"/>
  <c r="J44" i="2" s="1"/>
  <c r="E3" i="20" s="1"/>
  <c r="V20" i="3" l="1"/>
  <c r="V22" i="3"/>
  <c r="V24" i="3" s="1"/>
  <c r="F3" i="3"/>
  <c r="E5" i="3"/>
  <c r="G5" i="3"/>
  <c r="H5" i="3"/>
  <c r="J5" i="3"/>
  <c r="M5" i="3" s="1"/>
  <c r="H7" i="3"/>
  <c r="J7" i="3"/>
  <c r="H6" i="3"/>
  <c r="J6" i="3"/>
  <c r="M6" i="3" s="1"/>
  <c r="U22" i="3"/>
  <c r="U24" i="3" s="1"/>
  <c r="G3" i="3"/>
  <c r="U20" i="3"/>
  <c r="G7" i="3"/>
  <c r="E7" i="3"/>
  <c r="G6" i="3"/>
  <c r="E6" i="3"/>
  <c r="L6" i="3" l="1"/>
  <c r="N6" i="3"/>
  <c r="O6" i="3"/>
  <c r="C22" i="20" s="1"/>
  <c r="P6" i="3"/>
  <c r="D22" i="20" s="1"/>
  <c r="P5" i="3"/>
  <c r="D21" i="20" s="1"/>
  <c r="O5" i="3"/>
  <c r="C21" i="20" s="1"/>
  <c r="L7" i="3"/>
  <c r="N7" i="3"/>
  <c r="L3" i="3"/>
  <c r="J3" i="3"/>
  <c r="H3" i="3"/>
  <c r="N3" i="3" s="1"/>
  <c r="L5" i="3"/>
  <c r="N5" i="3"/>
  <c r="Q3" i="3" l="1"/>
  <c r="E5" i="20" s="1"/>
  <c r="R3" i="3"/>
  <c r="F5" i="20" s="1"/>
  <c r="R7" i="3"/>
  <c r="Q7" i="3"/>
  <c r="O4" i="3"/>
  <c r="C6" i="20" s="1"/>
  <c r="P4" i="3"/>
  <c r="M3" i="3"/>
  <c r="Q5" i="3"/>
  <c r="E21" i="20" s="1"/>
  <c r="R5" i="3"/>
  <c r="F21" i="20" s="1"/>
  <c r="H21" i="20" s="1"/>
  <c r="R6" i="3"/>
  <c r="F22" i="20" s="1"/>
  <c r="H22" i="20" s="1"/>
  <c r="Q6" i="3"/>
  <c r="E22" i="20" s="1"/>
  <c r="H5" i="20" l="1"/>
  <c r="F44" i="20"/>
  <c r="P3" i="3"/>
  <c r="D5" i="20" s="1"/>
  <c r="D44" i="20" s="1"/>
  <c r="D46" i="20" s="1"/>
  <c r="O3" i="3"/>
  <c r="C5" i="20" s="1"/>
</calcChain>
</file>

<file path=xl/comments1.xml><?xml version="1.0" encoding="utf-8"?>
<comments xmlns="http://schemas.openxmlformats.org/spreadsheetml/2006/main">
  <authors>
    <author>Maanavilja Liisa (LUKE)</author>
  </authors>
  <commentList>
    <comment ref="C3" authorId="0" shapeId="0">
      <text>
        <r>
          <rPr>
            <b/>
            <sz val="9"/>
            <color indexed="81"/>
            <rFont val="Tahoma"/>
            <family val="2"/>
          </rPr>
          <t>Maanavilja Liisa (LUKE):</t>
        </r>
        <r>
          <rPr>
            <sz val="9"/>
            <color indexed="81"/>
            <rFont val="Tahoma"/>
            <family val="2"/>
          </rPr>
          <t xml:space="preserve">
per raivaamatta jätetty metsäha</t>
        </r>
      </text>
    </comment>
    <comment ref="E3" authorId="0" shapeId="0">
      <text>
        <r>
          <rPr>
            <b/>
            <sz val="9"/>
            <color indexed="81"/>
            <rFont val="Tahoma"/>
            <family val="2"/>
          </rPr>
          <t>Maanavilja Liisa (LUKE):</t>
        </r>
        <r>
          <rPr>
            <sz val="9"/>
            <color indexed="81"/>
            <rFont val="Tahoma"/>
            <family val="2"/>
          </rPr>
          <t xml:space="preserve">
per raivaamatta jätetty metsäha</t>
        </r>
      </text>
    </comment>
    <comment ref="D5" authorId="0" shapeId="0">
      <text>
        <r>
          <rPr>
            <b/>
            <sz val="9"/>
            <color indexed="81"/>
            <rFont val="Tahoma"/>
            <family val="2"/>
          </rPr>
          <t>Maanavilja Liisa (LUKE):</t>
        </r>
        <r>
          <rPr>
            <sz val="9"/>
            <color indexed="81"/>
            <rFont val="Tahoma"/>
            <family val="2"/>
          </rPr>
          <t xml:space="preserve">
</t>
        </r>
      </text>
    </comment>
    <comment ref="C6" authorId="0" shapeId="0">
      <text>
        <r>
          <rPr>
            <b/>
            <sz val="9"/>
            <color indexed="81"/>
            <rFont val="Tahoma"/>
            <family val="2"/>
          </rPr>
          <t>Maanavilja Liisa (LUKE):</t>
        </r>
        <r>
          <rPr>
            <sz val="9"/>
            <color indexed="81"/>
            <rFont val="Tahoma"/>
            <family val="2"/>
          </rPr>
          <t xml:space="preserve">
päällekkäinen GAEC4 kanssa, ei lasketa kokonaisvaikutusta</t>
        </r>
      </text>
    </comment>
    <comment ref="D21" authorId="0" shapeId="0">
      <text>
        <r>
          <rPr>
            <b/>
            <sz val="9"/>
            <color indexed="81"/>
            <rFont val="Tahoma"/>
            <family val="2"/>
          </rPr>
          <t>Maanavilja Liisa (LUKE):</t>
        </r>
        <r>
          <rPr>
            <sz val="9"/>
            <color indexed="81"/>
            <rFont val="Tahoma"/>
            <family val="2"/>
          </rPr>
          <t xml:space="preserve">
huuhtouma vähennetty kokonaissumman laskemista varten</t>
        </r>
      </text>
    </comment>
    <comment ref="D22" authorId="0" shapeId="0">
      <text>
        <r>
          <rPr>
            <b/>
            <sz val="9"/>
            <color indexed="81"/>
            <rFont val="Tahoma"/>
            <family val="2"/>
          </rPr>
          <t>Maanavilja Liisa (LUKE):</t>
        </r>
        <r>
          <rPr>
            <sz val="9"/>
            <color indexed="81"/>
            <rFont val="Tahoma"/>
            <family val="2"/>
          </rPr>
          <t xml:space="preserve">
huuhtouma vähennetty kokonaissumman laskemista varten</t>
        </r>
      </text>
    </comment>
    <comment ref="D23" authorId="0" shapeId="0">
      <text>
        <r>
          <rPr>
            <b/>
            <sz val="9"/>
            <color indexed="81"/>
            <rFont val="Tahoma"/>
            <family val="2"/>
          </rPr>
          <t>Maanavilja Liisa (LUKE):</t>
        </r>
        <r>
          <rPr>
            <sz val="9"/>
            <color indexed="81"/>
            <rFont val="Tahoma"/>
            <family val="2"/>
          </rPr>
          <t xml:space="preserve">
vain huuhtouma</t>
        </r>
      </text>
    </comment>
    <comment ref="B37" authorId="0" shapeId="0">
      <text>
        <r>
          <rPr>
            <b/>
            <sz val="9"/>
            <color indexed="81"/>
            <rFont val="Tahoma"/>
            <family val="2"/>
          </rPr>
          <t>Maanavilja Liisa (LUKE):</t>
        </r>
        <r>
          <rPr>
            <sz val="9"/>
            <color indexed="81"/>
            <rFont val="Tahoma"/>
            <family val="2"/>
          </rPr>
          <t xml:space="preserve">
koskee samaa toimenpidettä kuin kosteikkojen hoito -sopimus</t>
        </r>
      </text>
    </comment>
    <comment ref="B38" authorId="0" shapeId="0">
      <text>
        <r>
          <rPr>
            <b/>
            <sz val="9"/>
            <color indexed="81"/>
            <rFont val="Tahoma"/>
            <family val="2"/>
          </rPr>
          <t>Maanavilja Liisa (LUKE):</t>
        </r>
        <r>
          <rPr>
            <sz val="9"/>
            <color indexed="81"/>
            <rFont val="Tahoma"/>
            <family val="2"/>
          </rPr>
          <t xml:space="preserve">
vain huuhtoumapäästön vähenemä</t>
        </r>
      </text>
    </comment>
  </commentList>
</comments>
</file>

<file path=xl/comments2.xml><?xml version="1.0" encoding="utf-8"?>
<comments xmlns="http://schemas.openxmlformats.org/spreadsheetml/2006/main">
  <authors>
    <author>Maanavilja Liisa (LUKE)</author>
  </authors>
  <commentList>
    <comment ref="R9" authorId="0" shapeId="0">
      <text>
        <r>
          <rPr>
            <b/>
            <sz val="9"/>
            <color indexed="81"/>
            <rFont val="Tahoma"/>
            <family val="2"/>
          </rPr>
          <t>Maanavilja Liisa (LUKE):</t>
        </r>
        <r>
          <rPr>
            <sz val="9"/>
            <color indexed="81"/>
            <rFont val="Tahoma"/>
            <family val="2"/>
          </rPr>
          <t xml:space="preserve">
päästölisäys</t>
        </r>
      </text>
    </comment>
  </commentList>
</comments>
</file>

<file path=xl/comments3.xml><?xml version="1.0" encoding="utf-8"?>
<comments xmlns="http://schemas.openxmlformats.org/spreadsheetml/2006/main">
  <authors>
    <author>Maanavilja Liisa (LUKE)</author>
  </authors>
  <commentList>
    <comment ref="C19" authorId="0" shapeId="0">
      <text>
        <r>
          <rPr>
            <b/>
            <sz val="9"/>
            <color indexed="81"/>
            <rFont val="Tahoma"/>
            <family val="2"/>
          </rPr>
          <t>Maanavilja Liisa (LUKE):</t>
        </r>
        <r>
          <rPr>
            <sz val="9"/>
            <color indexed="81"/>
            <rFont val="Tahoma"/>
            <family val="2"/>
          </rPr>
          <t xml:space="preserve">
ei voi laskea vähennyksellä, koska metsän N2O-päästö lasketaan eri sektorille</t>
        </r>
      </text>
    </comment>
    <comment ref="C20" authorId="0" shapeId="0">
      <text>
        <r>
          <rPr>
            <b/>
            <sz val="9"/>
            <color indexed="81"/>
            <rFont val="Tahoma"/>
            <family val="2"/>
          </rPr>
          <t>Maanavilja Liisa (LUKE):</t>
        </r>
        <r>
          <rPr>
            <sz val="9"/>
            <color indexed="81"/>
            <rFont val="Tahoma"/>
            <family val="2"/>
          </rPr>
          <t xml:space="preserve">
ei voi laskea vähennyksellä, koska metsän N2O-päästö lasketaan eri sektorille</t>
        </r>
      </text>
    </comment>
    <comment ref="A38" authorId="0" shapeId="0">
      <text>
        <r>
          <rPr>
            <b/>
            <sz val="9"/>
            <color indexed="81"/>
            <rFont val="Tahoma"/>
            <family val="2"/>
          </rPr>
          <t>Maanavilja Liisa (LUKE):</t>
        </r>
        <r>
          <rPr>
            <sz val="9"/>
            <color indexed="81"/>
            <rFont val="Tahoma"/>
            <family val="2"/>
          </rPr>
          <t xml:space="preserve">
tämä päästö aiheutuu, kun ei raivata</t>
        </r>
      </text>
    </comment>
    <comment ref="G43" authorId="0" shapeId="0">
      <text>
        <r>
          <rPr>
            <b/>
            <sz val="9"/>
            <color indexed="81"/>
            <rFont val="Tahoma"/>
            <family val="2"/>
          </rPr>
          <t>Maanavilja Liisa (LUKE):</t>
        </r>
        <r>
          <rPr>
            <sz val="9"/>
            <color indexed="81"/>
            <rFont val="Tahoma"/>
            <family val="2"/>
          </rPr>
          <t xml:space="preserve">
voisi käyttää ominaisvaikuttavuutena</t>
        </r>
      </text>
    </comment>
  </commentList>
</comments>
</file>

<file path=xl/comments4.xml><?xml version="1.0" encoding="utf-8"?>
<comments xmlns="http://schemas.openxmlformats.org/spreadsheetml/2006/main">
  <authors>
    <author>Maanavilja Liisa (LUKE)</author>
  </authors>
  <commentList>
    <comment ref="C2" authorId="0" shapeId="0">
      <text>
        <r>
          <rPr>
            <b/>
            <sz val="9"/>
            <color indexed="81"/>
            <rFont val="Tahoma"/>
            <family val="2"/>
          </rPr>
          <t>Maanavilja Liisa (LUKE):</t>
        </r>
        <r>
          <rPr>
            <sz val="9"/>
            <color indexed="81"/>
            <rFont val="Tahoma"/>
            <family val="2"/>
          </rPr>
          <t xml:space="preserve">
oletus, että näin paljon todella märkänä</t>
        </r>
      </text>
    </comment>
    <comment ref="C14" authorId="0" shapeId="0">
      <text>
        <r>
          <rPr>
            <b/>
            <sz val="9"/>
            <color indexed="81"/>
            <rFont val="Tahoma"/>
            <family val="2"/>
          </rPr>
          <t>Maanavilja Liisa (LUKE):</t>
        </r>
        <r>
          <rPr>
            <sz val="9"/>
            <color indexed="81"/>
            <rFont val="Tahoma"/>
            <family val="2"/>
          </rPr>
          <t xml:space="preserve">
oletus, että näin paljon todella märkänä</t>
        </r>
      </text>
    </comment>
  </commentList>
</comments>
</file>

<file path=xl/comments5.xml><?xml version="1.0" encoding="utf-8"?>
<comments xmlns="http://schemas.openxmlformats.org/spreadsheetml/2006/main">
  <authors>
    <author>Maanavilja Liisa (LUKE)</author>
  </authors>
  <commentList>
    <comment ref="J1" authorId="0" shapeId="0">
      <text>
        <r>
          <rPr>
            <b/>
            <sz val="9"/>
            <color indexed="81"/>
            <rFont val="Tahoma"/>
            <family val="2"/>
          </rPr>
          <t>Maanavilja Liisa (LUKE):</t>
        </r>
        <r>
          <rPr>
            <sz val="9"/>
            <color indexed="81"/>
            <rFont val="Tahoma"/>
            <family val="2"/>
          </rPr>
          <t xml:space="preserve">
CAP-kausi 2023-2027</t>
        </r>
      </text>
    </comment>
    <comment ref="N1" authorId="0" shapeId="0">
      <text>
        <r>
          <rPr>
            <b/>
            <sz val="9"/>
            <color indexed="81"/>
            <rFont val="Tahoma"/>
            <family val="2"/>
          </rPr>
          <t>Maanavilja Liisa (LUKE):</t>
        </r>
        <r>
          <rPr>
            <sz val="9"/>
            <color indexed="81"/>
            <rFont val="Tahoma"/>
            <family val="2"/>
          </rPr>
          <t xml:space="preserve">
CAP-kausi 2023-2027. Todennäköisesti siirtymäkausi sen jälkeen pari vuotta.</t>
        </r>
      </text>
    </comment>
  </commentList>
</comments>
</file>

<file path=xl/comments6.xml><?xml version="1.0" encoding="utf-8"?>
<comments xmlns="http://schemas.openxmlformats.org/spreadsheetml/2006/main">
  <authors>
    <author/>
  </authors>
  <commentList>
    <comment ref="P12" authorId="0" shapeId="0">
      <text>
        <r>
          <rPr>
            <sz val="11"/>
            <color theme="1"/>
            <rFont val="Calibri"/>
            <family val="2"/>
            <scheme val="minor"/>
          </rPr>
          <t>Dead wood is reported under soil organic matter.4A1, net carbon stock change in dead wood.Dead wood is reported under soil organic matter
.</t>
        </r>
      </text>
    </comment>
    <comment ref="Q12" authorId="0" shapeId="0">
      <text>
        <r>
          <rPr>
            <sz val="11"/>
            <color theme="1"/>
            <rFont val="Calibri"/>
            <family val="2"/>
            <scheme val="minor"/>
          </rPr>
          <t>Litter is reported under soil organic matter.4A1, net carbon stock change in litter.Litter is reported under soil organic matter
.</t>
        </r>
      </text>
    </comment>
    <comment ref="Q15" authorId="0" shapeId="0">
      <text>
        <r>
          <rPr>
            <sz val="11"/>
            <color theme="1"/>
            <rFont val="Calibri"/>
            <family val="2"/>
            <scheme val="minor"/>
          </rPr>
          <t>Litter is reported under soil organic matter.4.A.2 net carbon stock change in litter.Litter is reported under soil organic matter
.</t>
        </r>
      </text>
    </comment>
    <comment ref="Q17" authorId="0" shapeId="0">
      <text>
        <r>
          <rPr>
            <sz val="11"/>
            <color theme="1"/>
            <rFont val="Calibri"/>
            <family val="2"/>
            <scheme val="minor"/>
          </rPr>
          <t>Litter is reported under soil organic matter.4.A.2 net carbon stock change in litter.Litter is reported under soil organic matter
.</t>
        </r>
      </text>
    </comment>
    <comment ref="Q19" authorId="0" shapeId="0">
      <text>
        <r>
          <rPr>
            <sz val="11"/>
            <color theme="1"/>
            <rFont val="Calibri"/>
            <family val="2"/>
            <scheme val="minor"/>
          </rPr>
          <t>Litter is reported under soil organic matter.4.A.2 net carbon stock change in litter.Litter is reported under soil organic matter
.</t>
        </r>
      </text>
    </comment>
    <comment ref="Q20" authorId="0" shapeId="0">
      <text>
        <r>
          <rPr>
            <sz val="11"/>
            <color theme="1"/>
            <rFont val="Calibri"/>
            <family val="2"/>
            <scheme val="minor"/>
          </rPr>
          <t>Litter is reported under soil organic matter.4.A.2 net carbon stock change in litter.Litter is reported under soil organic matter
.</t>
        </r>
      </text>
    </comment>
    <comment ref="Q22" authorId="0" shapeId="0">
      <text>
        <r>
          <rPr>
            <sz val="11"/>
            <color theme="1"/>
            <rFont val="Calibri"/>
            <family val="2"/>
            <scheme val="minor"/>
          </rPr>
          <t>Litter is reported under soil organic matter.4.A.2 net carbon stock change in litter.Litter is reported under soil organic matter
.</t>
        </r>
      </text>
    </comment>
  </commentList>
</comments>
</file>

<file path=xl/comments7.xml><?xml version="1.0" encoding="utf-8"?>
<comments xmlns="http://schemas.openxmlformats.org/spreadsheetml/2006/main">
  <authors>
    <author/>
  </authors>
  <commentList>
    <comment ref="G11" authorId="0" shapeId="0">
      <text>
        <r>
          <rPr>
            <sz val="11"/>
            <color theme="1"/>
            <rFont val="Calibri"/>
            <family val="2"/>
            <scheme val="minor"/>
          </rPr>
          <t>CO2 emissions are reported in Table 4.A.CO2 emissions from drained organic forest land soils.CO2 emissions are reported in Table 4.A to avoid double counting
.</t>
        </r>
      </text>
    </comment>
    <comment ref="G19" authorId="0" shapeId="0">
      <text>
        <r>
          <rPr>
            <sz val="11"/>
            <color theme="1"/>
            <rFont val="Calibri"/>
            <family val="2"/>
            <scheme val="minor"/>
          </rPr>
          <t>CO2 emissions are reported in Table 4.B..4(II).B Drainage and rewetting of Croplands.CO2 emissions are reported in Table 4.B to avoid double counting
.</t>
        </r>
      </text>
    </comment>
    <comment ref="G27" authorId="0" shapeId="0">
      <text>
        <r>
          <rPr>
            <sz val="11"/>
            <color theme="1"/>
            <rFont val="Calibri"/>
            <family val="2"/>
            <scheme val="minor"/>
          </rPr>
          <t>CO2 emissions are reported in Table 4.C..4(II).C Drainage and rewetting of Grasslands.CO2 emissions are reported in Table 4.C to avoid double counting
.</t>
        </r>
      </text>
    </comment>
    <comment ref="I27" authorId="0" shapeId="0">
      <text>
        <r>
          <rPr>
            <sz val="11"/>
            <color theme="1"/>
            <rFont val="Calibri"/>
            <family val="2"/>
            <scheme val="minor"/>
          </rPr>
          <t>These emissions are not estimated.4(II).C Drainage and rewetting of Grasslands.There is no method in 2006 IPCC Guidelines to report these CH4 emissions
.</t>
        </r>
      </text>
    </comment>
    <comment ref="G37" authorId="0" shapeId="0">
      <text>
        <r>
          <rPr>
            <sz val="11"/>
            <color theme="1"/>
            <rFont val="Calibri"/>
            <family val="2"/>
            <scheme val="minor"/>
          </rPr>
          <t>CO2 emissions are reported in Table 4.D.4(II) D.2 CO2 emissions from drainage and rewetting of flooded lands.CO2 emissions are reported in Table 4.D
.</t>
        </r>
      </text>
    </comment>
    <comment ref="G54" authorId="0" shapeId="0">
      <text>
        <r>
          <rPr>
            <sz val="11"/>
            <color theme="1"/>
            <rFont val="Calibri"/>
            <family val="2"/>
            <scheme val="minor"/>
          </rPr>
          <t>CO2 emissions are reported in Table 4.D.4(II) D.2 CO2 emissions from drainage and rewetting of flooded lands.CO2 emissions are reported in Table 4.D
.</t>
        </r>
      </text>
    </comment>
    <comment ref="G60" authorId="0" shapeId="0">
      <text>
        <r>
          <rPr>
            <sz val="11"/>
            <color theme="1"/>
            <rFont val="Calibri"/>
            <family val="2"/>
            <scheme val="minor"/>
          </rPr>
          <t>CO2 emissions are reported in Table 4.D.4(II) CO2 emissions and removals from drainage and rewetting and other management of other wetlands.CO2 emissions are reported in Table 4.D
.</t>
        </r>
      </text>
    </comment>
  </commentList>
</comments>
</file>

<file path=xl/comments8.xml><?xml version="1.0" encoding="utf-8"?>
<comments xmlns="http://schemas.openxmlformats.org/spreadsheetml/2006/main">
  <authors>
    <author/>
  </authors>
  <commentList>
    <comment ref="B32" authorId="0" shapeId="0">
      <text>
        <r>
          <rPr>
            <sz val="11"/>
            <color theme="1"/>
            <rFont val="Calibri"/>
            <family val="2"/>
            <scheme val="minor"/>
          </rPr>
          <t>All N2O emissions from Wetlands are reported in Table 4(II) to avoid double-counting.4(III) Direct N2O Emissions from N Mineralization/Immobilization.All N2O emissions from Wetlands are reported in Table 4(II) to avoid double-counting
.</t>
        </r>
      </text>
    </comment>
    <comment ref="D32" authorId="0" shapeId="0">
      <text>
        <r>
          <rPr>
            <sz val="11"/>
            <color theme="1"/>
            <rFont val="Calibri"/>
            <family val="2"/>
            <scheme val="minor"/>
          </rPr>
          <t>All N2O emissions from Wetlands are reported in Table 4(II) to avoid double-counting.4(III) Direct N2O Emissions from N Mineralization/Immobilization.All N2O emissions from Wetlands are reported in Table 4(II) to avoid double-counting
.</t>
        </r>
      </text>
    </comment>
    <comment ref="B33" authorId="0" shapeId="0">
      <text>
        <r>
          <rPr>
            <sz val="11"/>
            <color theme="1"/>
            <rFont val="Calibri"/>
            <family val="2"/>
            <scheme val="minor"/>
          </rPr>
          <t>All N2O emissions from Wetlands are reported in Table 4(II) to avoid double-counting.4(III) Direct N2O Emissions from N Mineralization/Immobilization.All N2O emissions from Wetlands are reported in Table 4(II) to avoid double-counting
.</t>
        </r>
      </text>
    </comment>
    <comment ref="D33" authorId="0" shapeId="0">
      <text>
        <r>
          <rPr>
            <sz val="11"/>
            <color theme="1"/>
            <rFont val="Calibri"/>
            <family val="2"/>
            <scheme val="minor"/>
          </rPr>
          <t>All N2O emissions from Wetlands are reported in Table 4(II) to avoid double-counting.4(III) Direct N2O Emissions from N Mineralization/Immobilization.All N2O emissions from Wetlands are reported in Table 4(II) to avoid double-counting
.</t>
        </r>
      </text>
    </comment>
  </commentList>
</comments>
</file>

<file path=xl/comments9.xml><?xml version="1.0" encoding="utf-8"?>
<comments xmlns="http://schemas.openxmlformats.org/spreadsheetml/2006/main">
  <authors>
    <author/>
  </authors>
  <commentList>
    <comment ref="O12" authorId="0" shapeId="0">
      <text>
        <r>
          <rPr>
            <sz val="11"/>
            <color theme="1"/>
            <rFont val="Calibri"/>
            <family val="2"/>
            <scheme val="minor"/>
          </rPr>
          <t>Emissions from DOM are included in biomass loss.4.B.1 net carbon stock change in dead wood.Emissions from DOM are included in biomass loss
.</t>
        </r>
      </text>
    </comment>
    <comment ref="O17" authorId="0" shapeId="0">
      <text>
        <r>
          <rPr>
            <sz val="11"/>
            <color theme="1"/>
            <rFont val="Calibri"/>
            <family val="2"/>
            <scheme val="minor"/>
          </rPr>
          <t>These CSCs are not estimated.4.B.2.2 Net CSC in dead organic matter in GL converted to CL.These emissions are considered insignificant
.</t>
        </r>
      </text>
    </comment>
    <comment ref="O19" authorId="0" shapeId="0">
      <text>
        <r>
          <rPr>
            <sz val="11"/>
            <color theme="1"/>
            <rFont val="Calibri"/>
            <family val="2"/>
            <scheme val="minor"/>
          </rPr>
          <t>These CSCs are not estimated or are zero.4.B.2.3 Net CSC in dead organic matter in WL converted to CL.There is no national data or IPCC default EFs to estimate these CSCs. Most of the area is converted from peat extraction where there is no DOM
.</t>
        </r>
      </text>
    </comment>
    <comment ref="O21" authorId="0" shapeId="0">
      <text>
        <r>
          <rPr>
            <sz val="11"/>
            <color theme="1"/>
            <rFont val="Calibri"/>
            <family val="2"/>
            <scheme val="minor"/>
          </rPr>
          <t>These CSCs are not estimated or are zero.4.B.2.4 Net CSC in dead organic matter in SE converted to CL.There is no national data or IPCC default EFs to estimate these CSCs. The CSC is considered insignificant because the area is very small. When notation key is NA there is no area change and thus no CSC that year
.</t>
        </r>
      </text>
    </comment>
  </commentList>
</comments>
</file>

<file path=xl/sharedStrings.xml><?xml version="1.0" encoding="utf-8"?>
<sst xmlns="http://schemas.openxmlformats.org/spreadsheetml/2006/main" count="1646" uniqueCount="636">
  <si>
    <t>toimenpide</t>
  </si>
  <si>
    <t>GAEC 1 pysyvä nurmi</t>
  </si>
  <si>
    <t>GAEC 2 raivauksen vähentäminen</t>
  </si>
  <si>
    <t>kiv/turve</t>
  </si>
  <si>
    <t>kiv</t>
  </si>
  <si>
    <t>turv</t>
  </si>
  <si>
    <t>laskennan kuvaus</t>
  </si>
  <si>
    <t>Jäsenmaalle vapaaehtoinen GAEC raivauksen vähentäminen</t>
  </si>
  <si>
    <t>raivaus turv</t>
  </si>
  <si>
    <t>raivaus kiv</t>
  </si>
  <si>
    <t>erotus</t>
  </si>
  <si>
    <t>ala 2023-2027 toimella</t>
  </si>
  <si>
    <t>GAEC 4 suojakaistat vesistöjen varrella</t>
  </si>
  <si>
    <t>ha-lisäys: (3 m * vesistöjen varsia maatalousmaalla) - ((ympäristösitoumuksen ala / koko maatalousmaan ala)*(3 m * vesistöjen varsia maatalousmaalla))</t>
  </si>
  <si>
    <t>GAEC 7 vähimmäismaanpeite</t>
  </si>
  <si>
    <t>talviaikainen kasvipeitteisyys, väh. Sänki: enintään x % tilan maatalousmaasta voidaan muokata raskaammin kuin kevyellä muokkauksella</t>
  </si>
  <si>
    <t>Luonnonhoitopeltonurmet</t>
  </si>
  <si>
    <t>Viherlannoitusnurmet</t>
  </si>
  <si>
    <t>Talviaikainen kasvipeite (sänki- ja kasvipeite)</t>
  </si>
  <si>
    <t>Monimuotoisuuskasvit</t>
  </si>
  <si>
    <t>Kerääjäkasvit</t>
  </si>
  <si>
    <t>Maanparannus- ja saneerauskasvit</t>
  </si>
  <si>
    <t>Kiertotalouden edistäminen</t>
  </si>
  <si>
    <t>Aiemmin yksivuotisilta kasveilta. Viiden vuoden ajan pelkkää nurmea verrattuna siihen, että olisi samoin kuin valtakunnassa keskimäärin.</t>
  </si>
  <si>
    <t>kumuloituva vähennys</t>
  </si>
  <si>
    <t>vuosittain</t>
  </si>
  <si>
    <t>raivaus yksivuotisille vähenee</t>
  </si>
  <si>
    <t>raivaus nurmelle vähenee</t>
  </si>
  <si>
    <t>kumuloituva raivaus yksivuotisille vähenee</t>
  </si>
  <si>
    <t>kumuloituva raivaus nurmelle vähenee</t>
  </si>
  <si>
    <t>suojakaistat</t>
  </si>
  <si>
    <t>kiv.maata</t>
  </si>
  <si>
    <t>toimi</t>
  </si>
  <si>
    <t>yht</t>
  </si>
  <si>
    <t>ala ha</t>
  </si>
  <si>
    <t>TABLE 4.B  SECTORAL BACKGROUND DATA FOR LAND USE, LAND-USE CHANGE AND FORESTRY</t>
  </si>
  <si>
    <t>Inventory 2019</t>
  </si>
  <si>
    <t>Cropland</t>
  </si>
  <si>
    <t>Submission 2021 v3</t>
  </si>
  <si>
    <t>(Sheet 1 of 1)</t>
  </si>
  <si>
    <t>turvemaan osuus</t>
  </si>
  <si>
    <t>FINLAND</t>
  </si>
  <si>
    <t>GREENHOUSE GAS SOURCE AND SINK CATEGORIES</t>
  </si>
  <si>
    <t>ACTIVITY DATA</t>
  </si>
  <si>
    <t>IMPLIED CARBON-STOCK-CHANGE FACTORS</t>
  </si>
  <si>
    <r>
      <t>CHANGES IN CARBON STOCK AND NET CO</t>
    </r>
    <r>
      <rPr>
        <b/>
        <vertAlign val="subscript"/>
        <sz val="9"/>
        <rFont val="Times New Roman"/>
        <family val="1"/>
      </rPr>
      <t>2</t>
    </r>
    <r>
      <rPr>
        <b/>
        <sz val="9"/>
        <rFont val="Times New Roman"/>
        <family val="1"/>
      </rPr>
      <t xml:space="preserve"> EMISSIONS/REMOVALS FROM SOILS</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</si>
  <si>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</si>
  <si>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t>Land-use category</t>
  </si>
  <si>
    <r>
      <t>Subdivision</t>
    </r>
    <r>
      <rPr>
        <b/>
        <vertAlign val="superscript"/>
        <sz val="9"/>
        <rFont val="Times New Roman"/>
        <family val="1"/>
      </rPr>
      <t>(1)</t>
    </r>
  </si>
  <si>
    <r>
      <t>Total area</t>
    </r>
    <r>
      <rPr>
        <b/>
        <vertAlign val="superscript"/>
        <sz val="9"/>
        <rFont val="Times New Roman"/>
        <family val="1"/>
      </rPr>
      <t>(2)</t>
    </r>
    <r>
      <rPr>
        <b/>
        <sz val="9"/>
        <rFont val="Times New Roman"/>
        <family val="1"/>
      </rPr>
      <t xml:space="preserve">
(kha)</t>
    </r>
  </si>
  <si>
    <r>
      <t>Area of mineral soil</t>
    </r>
    <r>
      <rPr>
        <b/>
        <vertAlign val="superscript"/>
        <sz val="9"/>
        <rFont val="Times New Roman"/>
        <family val="1"/>
      </rPr>
      <t xml:space="preserve">
</t>
    </r>
    <r>
      <rPr>
        <b/>
        <sz val="9"/>
        <rFont val="Times New Roman"/>
        <family val="1"/>
      </rPr>
      <t>(kha)</t>
    </r>
  </si>
  <si>
    <r>
      <t>Area of organic soil</t>
    </r>
    <r>
      <rPr>
        <b/>
        <vertAlign val="superscript"/>
        <sz val="9"/>
        <rFont val="Times New Roman"/>
        <family val="1"/>
      </rPr>
      <t xml:space="preserve">
</t>
    </r>
    <r>
      <rPr>
        <b/>
        <sz val="9"/>
        <rFont val="Times New Roman"/>
        <family val="1"/>
      </rPr>
      <t>(kha)</t>
    </r>
  </si>
  <si>
    <r>
      <t>Carbon stock change in living biomass per area</t>
    </r>
    <r>
      <rPr>
        <b/>
        <vertAlign val="superscript"/>
        <sz val="9"/>
        <rFont val="Times New Roman"/>
        <family val="1"/>
      </rPr>
      <t>(3) (4)</t>
    </r>
  </si>
  <si>
    <r>
      <t>Net carbon stock change in dead organic matter per area</t>
    </r>
    <r>
      <rPr>
        <b/>
        <vertAlign val="superscript"/>
        <sz val="9"/>
        <rFont val="Times New Roman"/>
        <family val="1"/>
      </rPr>
      <t>(4)</t>
    </r>
  </si>
  <si>
    <r>
      <t>Net carbon stock change in soils per area</t>
    </r>
    <r>
      <rPr>
        <b/>
        <vertAlign val="superscript"/>
        <sz val="9"/>
        <rFont val="Times New Roman"/>
        <family val="1"/>
      </rPr>
      <t>(4)</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</si>
  <si>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</si>
  <si>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</si>
  <si>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r>
      <t>Net carbon stock change in soils</t>
    </r>
    <r>
      <rPr>
        <b/>
        <vertAlign val="superscript"/>
        <sz val="9"/>
        <rFont val="Times New Roman"/>
        <family val="1"/>
      </rPr>
      <t xml:space="preserve">(4) (5) (8) </t>
    </r>
  </si>
  <si>
    <t>Gains</t>
  </si>
  <si>
    <t>Losses</t>
  </si>
  <si>
    <t>Net change</t>
  </si>
  <si>
    <t>Mineral soils</t>
  </si>
  <si>
    <t>Organic soils</t>
  </si>
  <si>
    <t>(t C/ha)</t>
  </si>
  <si>
    <t>(kt C)</t>
  </si>
  <si>
    <t>(kt)</t>
  </si>
  <si>
    <t>B. Total Cropland</t>
  </si>
  <si>
    <t/>
  </si>
  <si>
    <t>1. Cropland remaining cropland</t>
  </si>
  <si>
    <t>NA</t>
  </si>
  <si>
    <t>IE</t>
  </si>
  <si>
    <t>Carbon_Stock_Change</t>
  </si>
  <si>
    <r>
      <t>2. Land converted to cropland</t>
    </r>
    <r>
      <rPr>
        <vertAlign val="superscript"/>
        <sz val="9"/>
        <rFont val="Times New Roman"/>
        <family val="1"/>
      </rPr>
      <t>(10)</t>
    </r>
  </si>
  <si>
    <t xml:space="preserve">2.1 Forest land converted to cropland . </t>
  </si>
  <si>
    <t>FL_to_CL</t>
  </si>
  <si>
    <t xml:space="preserve">2.2 Grassland converted to cropland </t>
  </si>
  <si>
    <t>NE</t>
  </si>
  <si>
    <t>GL_to_CL</t>
  </si>
  <si>
    <t>2.3 Wetlands converted to cropland</t>
  </si>
  <si>
    <t>WL_to_CL</t>
  </si>
  <si>
    <t>2.4 Settlements converted to cropland</t>
  </si>
  <si>
    <t>SL_to_CL</t>
  </si>
  <si>
    <t>2.5 Other land converted to cropland</t>
  </si>
  <si>
    <t>NO,NA</t>
  </si>
  <si>
    <t>NO</t>
  </si>
  <si>
    <t>OL_to_CL</t>
  </si>
  <si>
    <t>.</t>
  </si>
  <si>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</si>
  <si>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</si>
  <si>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</si>
  <si>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(4) </t>
    </r>
    <r>
      <rPr>
        <sz val="9"/>
        <rFont val="Times New Roman"/>
        <family val="1"/>
      </rPr>
      <t xml:space="preserve">The signs for estimates of gains in carbon stocks are positive (+) and for losses in carbon stocks are negative (–).  </t>
    </r>
  </si>
  <si>
    <r>
      <t xml:space="preserve">(5) </t>
    </r>
    <r>
      <rPr>
        <sz val="9"/>
        <rFont val="Times New Roman"/>
        <family val="1"/>
      </rPr>
      <t xml:space="preserve"> Parties who wish to do so may report annual on-site CO2-C emissions/removals and off-site CO2-C emissions from drained and rewetted organic soils here.</t>
    </r>
  </si>
  <si>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</si>
  <si>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</si>
  <si>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(8)</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</si>
  <si>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</si>
  <si>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(10)</t>
    </r>
    <r>
      <rPr>
        <sz val="9"/>
        <rFont val="Times New Roman"/>
        <family val="1"/>
      </rPr>
      <t xml:space="preserve"> A Party may report aggregated estimates for all land conversions to cropland, when data are not available to report them separately. A Party should specify in the documentation box which types of land conversion are included.</t>
    </r>
  </si>
  <si>
    <t>Documentation box:</t>
  </si>
  <si>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</si>
  <si>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Documentation box</t>
  </si>
  <si>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</si>
  <si>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</si>
  <si>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ACTIVITY  DATA   AND  OTHER  RELATED  INFORMATION</t>
  </si>
  <si>
    <t>IMPLIED EMISSION FACTORS</t>
  </si>
  <si>
    <t>EMISSIONS</t>
  </si>
  <si>
    <t>Description</t>
  </si>
  <si>
    <t>Value</t>
  </si>
  <si>
    <r>
      <t>N</t>
    </r>
    <r>
      <rPr>
        <b/>
        <vertAlign val="subscript"/>
        <sz val="9"/>
        <rFont val="Times New Roman"/>
        <family val="1"/>
      </rPr>
      <t>2</t>
    </r>
    <r>
      <rPr>
        <b/>
        <sz val="9"/>
        <rFont val="Times New Roman"/>
        <family val="1"/>
      </rPr>
      <t>O</t>
    </r>
  </si>
  <si>
    <t>kg N/yr</t>
  </si>
  <si>
    <r>
      <t>kg N</t>
    </r>
    <r>
      <rPr>
        <b/>
        <vertAlign val="subscript"/>
        <sz val="9"/>
        <rFont val="Times New Roman"/>
        <family val="1"/>
      </rPr>
      <t>2</t>
    </r>
    <r>
      <rPr>
        <b/>
        <sz val="9"/>
        <rFont val="Times New Roman"/>
        <family val="1"/>
      </rPr>
      <t>O-N/kg N</t>
    </r>
    <r>
      <rPr>
        <b/>
        <vertAlign val="superscript"/>
        <sz val="9"/>
        <rFont val="Times New Roman"/>
        <family val="1"/>
      </rPr>
      <t>(1)(2)</t>
    </r>
  </si>
  <si>
    <r>
      <t>a. Direct N</t>
    </r>
    <r>
      <rPr>
        <b/>
        <vertAlign val="subscript"/>
        <sz val="9"/>
        <rFont val="Times New Roman"/>
        <family val="1"/>
      </rPr>
      <t>2</t>
    </r>
    <r>
      <rPr>
        <b/>
        <sz val="9"/>
        <rFont val="Times New Roman"/>
        <family val="1"/>
      </rPr>
      <t xml:space="preserve">O emissions from managed soils </t>
    </r>
  </si>
  <si>
    <r>
      <t>1.   Inorganic N fertilizers</t>
    </r>
    <r>
      <rPr>
        <vertAlign val="superscript"/>
        <sz val="9"/>
        <rFont val="Times New Roman"/>
        <family val="1"/>
      </rPr>
      <t>(3)</t>
    </r>
  </si>
  <si>
    <t>N input from application of inorganic fertilizers to cropland and grassland</t>
  </si>
  <si>
    <r>
      <t>2.   Organic N fertilizers</t>
    </r>
    <r>
      <rPr>
        <vertAlign val="superscript"/>
        <sz val="9"/>
        <rFont val="Times New Roman"/>
        <family val="1"/>
      </rPr>
      <t>(3)</t>
    </r>
  </si>
  <si>
    <t>N input from organic N fertilizers to cropland and grassland</t>
  </si>
  <si>
    <t xml:space="preserve">      a. Animal manure applied to soils</t>
  </si>
  <si>
    <t>N input from manure applied to soils</t>
  </si>
  <si>
    <t xml:space="preserve">      b. Sewage sludge applied to soils</t>
  </si>
  <si>
    <t>N input from sewage sludge applied to soils</t>
  </si>
  <si>
    <t xml:space="preserve">      c. Other organic fertilizers applied to soils</t>
  </si>
  <si>
    <t>N input from application of other organic fertilizers</t>
  </si>
  <si>
    <t>3.   Urine and dung deposited by grazing animals</t>
  </si>
  <si>
    <t>N excretion on pasture, range and paddock</t>
  </si>
  <si>
    <t>4.   Crop residues</t>
  </si>
  <si>
    <t>N in crop residues returned to soils</t>
  </si>
  <si>
    <r>
      <t xml:space="preserve">5.  Mineralization/immobilization associated with loss/gain of soil organic matter </t>
    </r>
    <r>
      <rPr>
        <vertAlign val="superscript"/>
        <sz val="9"/>
        <rFont val="Times New Roman"/>
        <family val="1"/>
      </rPr>
      <t>(4)(5)</t>
    </r>
  </si>
  <si>
    <t>N in mineral soils that is mineralized in association with loss of soil C</t>
  </si>
  <si>
    <r>
      <t>6.   Cultivation of organic soils (i.e. histosols)</t>
    </r>
    <r>
      <rPr>
        <vertAlign val="superscript"/>
        <sz val="9"/>
        <rFont val="Times New Roman"/>
        <family val="1"/>
      </rPr>
      <t>(2)</t>
    </r>
  </si>
  <si>
    <t>Area of cultivated organic soils</t>
  </si>
  <si>
    <t>7.   Other</t>
  </si>
  <si>
    <r>
      <t>b. Indirect N</t>
    </r>
    <r>
      <rPr>
        <b/>
        <vertAlign val="subscript"/>
        <sz val="9"/>
        <rFont val="Times New Roman"/>
        <family val="1"/>
      </rPr>
      <t>2</t>
    </r>
    <r>
      <rPr>
        <b/>
        <sz val="9"/>
        <rFont val="Times New Roman"/>
        <family val="1"/>
      </rPr>
      <t xml:space="preserve">O Emissions from managed soils </t>
    </r>
  </si>
  <si>
    <r>
      <t>1.   Atmospheric deposition</t>
    </r>
    <r>
      <rPr>
        <vertAlign val="superscript"/>
        <sz val="9"/>
        <rFont val="Times New Roman"/>
        <family val="1"/>
      </rPr>
      <t>(6)</t>
    </r>
  </si>
  <si>
    <t>Volatilized N from agricultural inputs of N</t>
  </si>
  <si>
    <t>2.   Nitrogen leaching and run-off</t>
  </si>
  <si>
    <t>N from fertilizers and other agricultural inputs that is lost through leaching and run-off</t>
  </si>
  <si>
    <r>
      <t xml:space="preserve">(1)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</si>
  <si>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(2)</t>
    </r>
    <r>
      <rPr>
        <sz val="9"/>
        <rFont val="Times New Roman"/>
        <family val="1"/>
      </rPr>
      <t xml:space="preserve">   For cultivation of histosols the unit of the IEF is kg N</t>
    </r>
    <r>
      <rPr>
        <vertAlign val="subscript"/>
        <sz val="9"/>
        <rFont val="Times New Roman"/>
        <family val="1"/>
      </rPr>
      <t>2</t>
    </r>
    <r>
      <rPr>
        <sz val="9"/>
        <rFont val="Times New Roman"/>
        <family val="1"/>
      </rPr>
      <t>O–N/ha. The emissions from cultivation/management of croplands and grasslands are to be included. For a definition of organic soils, see footnote 4, page 11.6 of chapter 11 of volume 4 of the 2006 IPCC Guidelines.</t>
    </r>
  </si>
  <si>
    <r>
      <t>(3)</t>
    </r>
    <r>
      <rPr>
        <sz val="9"/>
        <rFont val="Times New Roman"/>
        <family val="1"/>
      </rPr>
      <t xml:space="preserve">    Include the application of fertilizers on cropland and grassland. If the application of fertilizers to other land categories cannot be separately identified, this application should be included here.</t>
    </r>
  </si>
  <si>
    <r>
      <t>(4)</t>
    </r>
    <r>
      <rPr>
        <sz val="9"/>
        <rFont val="Times New Roman"/>
        <family val="1"/>
      </rPr>
      <t xml:space="preserve">   Emissions from management changes in cropland remaining cropland would be reported in this table. </t>
    </r>
  </si>
  <si>
    <r>
      <t xml:space="preserve">(5)  </t>
    </r>
    <r>
      <rPr>
        <sz val="9"/>
        <rFont val="Times New Roman"/>
        <family val="1"/>
      </rPr>
      <t>Methodologies for N</t>
    </r>
    <r>
      <rPr>
        <vertAlign val="subscript"/>
        <sz val="9"/>
        <rFont val="Times New Roman"/>
        <family val="1"/>
      </rPr>
      <t>2</t>
    </r>
    <r>
      <rPr>
        <sz val="9"/>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9"/>
        <rFont val="Times New Roman"/>
        <family val="1"/>
      </rPr>
      <t>2</t>
    </r>
    <r>
      <rPr>
        <sz val="9"/>
        <rFont val="Times New Roman"/>
        <family val="1"/>
      </rPr>
      <t>O immobilization associated with gain of organic matter resulting from management of mineral soils can be reported only when a Party applies a tier 3 approach in the relevant calculation.</t>
    </r>
  </si>
  <si>
    <r>
      <t>(6)</t>
    </r>
    <r>
      <rPr>
        <sz val="9"/>
        <rFont val="Times New Roman"/>
        <family val="1"/>
      </rPr>
      <t xml:space="preserve">   Only atmospheric deposition of nitrogen (N) volatilised from agricultural inputs of N are to be reported here, not including NOx associated with the burning of savannahs and crop residues.</t>
    </r>
  </si>
  <si>
    <t>Additional information</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</si>
  <si>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</si>
  <si>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</si>
  <si>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</si>
  <si>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</si>
  <si>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</si>
  <si>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LEACH-(H)</t>
    </r>
  </si>
  <si>
    <t>Fraction of N input to managed soils that is lost through leaching and run-off</t>
  </si>
  <si>
    <r>
      <t xml:space="preserve">Other fractions </t>
    </r>
    <r>
      <rPr>
        <i/>
        <sz val="9"/>
        <rFont val="Times New Roman"/>
        <family val="1"/>
      </rPr>
      <t>(please specify)</t>
    </r>
  </si>
  <si>
    <r>
      <t>(a)</t>
    </r>
    <r>
      <rPr>
        <sz val="9"/>
        <rFont val="Times New Roman"/>
        <family val="1"/>
      </rPr>
      <t xml:space="preserve"> Use the definitions for fractions as specified in the 2006 IPCC Guidelines (pp. 11.13-11.22 of chapter 11 of volume 4) </t>
    </r>
  </si>
  <si>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</si>
  <si>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Provide a reference to the relevant section in the NIR, in particular with regard to: </t>
  </si>
  <si>
    <r>
      <t xml:space="preserve">    (a) Background information on methane (CH</t>
    </r>
    <r>
      <rPr>
        <vertAlign val="subscript"/>
        <sz val="9"/>
        <rFont val="Times New Roman"/>
        <family val="1"/>
      </rPr>
      <t>4</t>
    </r>
    <r>
      <rPr>
        <sz val="9"/>
        <rFont val="Times New Roman"/>
        <family val="1"/>
      </rPr>
      <t>) emissions from agricultural soils, if accounted for under the agriculture sector;</t>
    </r>
  </si>
  <si>
    <t xml:space="preserve">    (b) Full list of assumptions and fractions used.</t>
  </si>
  <si>
    <t>3.D/2019: manure includes bedding _x000D_
3.D.1.2.c: N input from potato cell sap and meat and bone meal on agricultural lands</t>
  </si>
  <si>
    <t>CO2-päästö viljelysmaana, t</t>
  </si>
  <si>
    <t xml:space="preserve">N2O-päästö viljelysmaana, t </t>
  </si>
  <si>
    <t>N2O-päästö viljelysmaana, t CO2-ekv</t>
  </si>
  <si>
    <t>AR5</t>
  </si>
  <si>
    <t>CO2</t>
  </si>
  <si>
    <t>CH4</t>
  </si>
  <si>
    <t>N2O</t>
  </si>
  <si>
    <t>AR4</t>
  </si>
  <si>
    <t>CO2-päästö viljelysmaana, t/ha</t>
  </si>
  <si>
    <t>N2O-päästö viljelysmaana, t/ha</t>
  </si>
  <si>
    <t>N2O-päästö viljelysmaana, t CO2-ekv/ha</t>
  </si>
  <si>
    <t>t/ha</t>
  </si>
  <si>
    <t>vuosi</t>
  </si>
  <si>
    <t>Määrä  / ala</t>
  </si>
  <si>
    <t>Sarakeotsikot</t>
  </si>
  <si>
    <t>Riviotsikot</t>
  </si>
  <si>
    <t>Herne</t>
  </si>
  <si>
    <t>Kaura</t>
  </si>
  <si>
    <t>Keraajakasvi</t>
  </si>
  <si>
    <t>Kesannot</t>
  </si>
  <si>
    <t>Kevatvehna</t>
  </si>
  <si>
    <t>Ohra</t>
  </si>
  <si>
    <t>Peruna</t>
  </si>
  <si>
    <t>Rapsi</t>
  </si>
  <si>
    <t>Ruis</t>
  </si>
  <si>
    <t>Rypsi</t>
  </si>
  <si>
    <t>Sailorehu</t>
  </si>
  <si>
    <t>Seosvilja</t>
  </si>
  <si>
    <t>Sokerijuurikas</t>
  </si>
  <si>
    <t>Syysvehna</t>
  </si>
  <si>
    <t>Kaikki yhteensä</t>
  </si>
  <si>
    <t>M</t>
  </si>
  <si>
    <t>O</t>
  </si>
  <si>
    <t>AreasCrop-tiedosto</t>
  </si>
  <si>
    <t>org CO2-päästöt</t>
  </si>
  <si>
    <t>org N2O-päästöt, maataloussektori</t>
  </si>
  <si>
    <t>päästö</t>
  </si>
  <si>
    <t>land type  (organic soil)</t>
  </si>
  <si>
    <t>viljelykäyttö</t>
  </si>
  <si>
    <t xml:space="preserve">käytössä Suomen KHK-inventaariossa? </t>
  </si>
  <si>
    <t>sektori</t>
  </si>
  <si>
    <t>EF</t>
  </si>
  <si>
    <t>95% confidence interval min</t>
  </si>
  <si>
    <t>95% confidence interval max</t>
  </si>
  <si>
    <t>EF yksikkö</t>
  </si>
  <si>
    <t>GWP</t>
  </si>
  <si>
    <t>EF CO2-ekv. yksikkö</t>
  </si>
  <si>
    <t>EF lähde</t>
  </si>
  <si>
    <t>EF lähde tarkemmin</t>
  </si>
  <si>
    <t>cropland drained, annual</t>
  </si>
  <si>
    <t>viljelysmaa, viljakasvit ja muut yksivuotiset</t>
  </si>
  <si>
    <t>kyllä</t>
  </si>
  <si>
    <t>LULUCF</t>
  </si>
  <si>
    <t>t CO2-C/ha/yr</t>
  </si>
  <si>
    <t>t CO2-ekv./ha/yr</t>
  </si>
  <si>
    <t>IPCC Wetlands Supplement 2013</t>
  </si>
  <si>
    <t xml:space="preserve">Table 2.1. Cropland, drained. Boreal and Temperate. No of sites: 39. Drösler et al., 2013; Elsgaard et al., 2012; Grønlund et al., 2008; Kasimir-Klemedtsson et al., 1997; Leifeld et al., 2011; Maljanen et al., 2001a, 2003a, 2004, 2007; Morrison et al., 2013; Petersen et al., 2012. </t>
  </si>
  <si>
    <t>cropland drained, grass</t>
  </si>
  <si>
    <t>viljelysmaa, nurmi</t>
  </si>
  <si>
    <t>Table 2.1. Grassland, drained. No of sites: 8. Grønlund et al., 2006; Kreshtapova &amp; Maslov, 2004; Lohila et al., 2004; Maljanen et al., 2001a, 2004; Nykänen et al., 1995; Shurpali et al., 2009</t>
  </si>
  <si>
    <t>wet cropland, grass</t>
  </si>
  <si>
    <t>märkä nurmi</t>
  </si>
  <si>
    <t>ei</t>
  </si>
  <si>
    <t xml:space="preserve">Table 2.1. Grassland, shallow-drained (less than approximately 30 cm below the surface), nutrient-rich. Temperate zone. No of sites: 13. Drösler et al., 2013; Jacobs et al., 2003; Lloyd, 2006. </t>
  </si>
  <si>
    <t>grassland (mainly abandoned fields)</t>
  </si>
  <si>
    <t>ruohikkoalueet (enimmäkseen hylättyjä peltoja)</t>
  </si>
  <si>
    <t>Maljanen et al. 2010</t>
  </si>
  <si>
    <t>s. 2721 The mean annual emissions (±standard deviation) from abandoned sites were 0.89±0.70 g m−2 (n = 6) for N2O and 1300±1100 g m−2(n = 5) for CO2.</t>
  </si>
  <si>
    <t>maatalous</t>
  </si>
  <si>
    <t>kg N2O-N/ha/yr</t>
  </si>
  <si>
    <t>Table 2.5. Cropland, drained. Boreal and Temperate. No of sites: 36. Augustin et al., 1998; Drösler et al., 2013; Elsgaard et al., 2012; Flessa et al., 1998; Kasimir-Klemedtsson et al., 2009; Maljanen et al., 2003a, b, 2004, 2007; Petersen et al., 2012; Regina et al., 2004; Taft et al., 2013.</t>
  </si>
  <si>
    <t>Table 2.5. Grassland, drained. Boreal. No of sites: 16. Grønlund et al., 2006; Hyvönen et al., 2009; Jaakkola, 1985; Maljanen et al., 2001b, 2003a, 2004, 2009, 2010b; Nykänen et al., 1995; Regina et al., 1996, 2004.</t>
  </si>
  <si>
    <t>Table 2.5. Grassland, shallow-drained (less than approximately 30 cm below the surface), nutrient-rich. Temperate zone. No of sites: 13. Drösler et al., 2013; Jacobs et al., 2003.</t>
  </si>
  <si>
    <t>kg CH4/ha/yr</t>
  </si>
  <si>
    <t>Table 2.3. Grassland, shallow-drained, nutrient-rich. Temperate zone. No of sites: 16. Augustin, 2003; Drösler et al., 2013; Jacobs et al., 2003; van den Pol-van Dasselaar et al., 1997.</t>
  </si>
  <si>
    <t>drainage ditches of deep-drained cropland</t>
  </si>
  <si>
    <t>viljelysmaan ja nurmen ojat</t>
  </si>
  <si>
    <t>Table 2.4. Boreal/Temperate Deep-drained Grassland Cropland. Best &amp; Jacobs, 1997; Chistotin et al., 2006; Schrier-Uijl et al., 2010b, 2011; Sirin et al., 2012; Teh et al., 2011; Vermaat et al., 2011.</t>
  </si>
  <si>
    <t>drainage ditches of wet cropland, grass</t>
  </si>
  <si>
    <t>märkä nurmi, ojat</t>
  </si>
  <si>
    <t>Table 2.4. Boreal/Temperate Shallow-drained Grassland. Best &amp; Jacobs, 1997; Hendriks et al., 2007, 2010; McNamara, 2013; van den Pol-van Dasselaar et al., 1999a; Vermaat et al., 2011.</t>
  </si>
  <si>
    <t>KIV MAA märkä kosteikko</t>
  </si>
  <si>
    <t>rewetted organic soils, nutrient status: rich</t>
  </si>
  <si>
    <t>ei enää viljelykäytössä</t>
  </si>
  <si>
    <t xml:space="preserve">Table 3.1. Boreal, nutrient-rich. Number of sites: 39. </t>
  </si>
  <si>
    <t>rewetted organic soils, CO2 from DOC</t>
  </si>
  <si>
    <t>Eq. 3.6, Table 3.2. Boreal. DOC flux 0.08 * Frac_DOC-CO2 0.9</t>
  </si>
  <si>
    <t>kg CH4-C/ha/yr</t>
  </si>
  <si>
    <t xml:space="preserve">Table 3.3. Boreal, nutrient-rich. Number of sites: 35. </t>
  </si>
  <si>
    <t>Under Tier 1, emissions of nitrous oxides from rewetted soils are assumed to be negligible (Hendriks et al., 2007; Wilson et al., 2013).</t>
  </si>
  <si>
    <t>t CO2-ekv/ha (AR4)</t>
  </si>
  <si>
    <t>luonnonhoitopeltonurmet</t>
  </si>
  <si>
    <t>kiv. yksivuotiset</t>
  </si>
  <si>
    <t>org. yksivuotiset</t>
  </si>
  <si>
    <t>org. maata</t>
  </si>
  <si>
    <t>päästöt</t>
  </si>
  <si>
    <t>kiv_N2O, t CO2 ekv AR4</t>
  </si>
  <si>
    <t>yht_LULUCF, t</t>
  </si>
  <si>
    <t>yht_maataloussektori, t CO2-ekv AR4</t>
  </si>
  <si>
    <t>org_N2O, t CO2 ekv AR4</t>
  </si>
  <si>
    <t>yht LULUCF, t/ha</t>
  </si>
  <si>
    <t>yht maataloussektori, t/ha</t>
  </si>
  <si>
    <t>viherlannoitusnurmet</t>
  </si>
  <si>
    <t>monimuotoisuuskasvit</t>
  </si>
  <si>
    <t>ympäristökorvauksen ala/maatalousmaan ala</t>
  </si>
  <si>
    <t>Suojavyöhykkeet turvepeltojen nurmet</t>
  </si>
  <si>
    <t>Suojavyöhykkeet vesistöjen varrella</t>
  </si>
  <si>
    <t>Monivuotinen ympäristönurmi</t>
  </si>
  <si>
    <t>monivuotiset ympäristönurmet</t>
  </si>
  <si>
    <t>turvemaan pysyvä nurmi yksivuotisen tilalle</t>
  </si>
  <si>
    <t>Muutos aikaisempaan</t>
  </si>
  <si>
    <t>Mineral soils, emission, t CO2/ha</t>
  </si>
  <si>
    <t>Organic soils, emission, t CO2/ha</t>
  </si>
  <si>
    <t>Viljelysmaa</t>
  </si>
  <si>
    <t>Kesannon hiilensidonta(Jaakko Heikkinen 14.6.2021)</t>
  </si>
  <si>
    <t>t C ha /vuosi</t>
  </si>
  <si>
    <t>t CO2/ha/vuosi</t>
  </si>
  <si>
    <t xml:space="preserve">kiv_CO2, t/vuosi </t>
  </si>
  <si>
    <t>org_CO2, t/vuosi</t>
  </si>
  <si>
    <t>kiv CO2 t/ha/vuosi</t>
  </si>
  <si>
    <t>yht_LULUCF, kt</t>
  </si>
  <si>
    <t>kerääjäkasvit</t>
  </si>
  <si>
    <r>
      <t xml:space="preserve">Emission factor (EF), </t>
    </r>
    <r>
      <rPr>
        <sz val="9"/>
        <color indexed="10"/>
        <rFont val="Arial"/>
        <family val="2"/>
      </rPr>
      <t>kg N</t>
    </r>
    <r>
      <rPr>
        <vertAlign val="subscript"/>
        <sz val="9"/>
        <color indexed="10"/>
        <rFont val="Arial"/>
        <family val="2"/>
      </rPr>
      <t>2</t>
    </r>
    <r>
      <rPr>
        <sz val="9"/>
        <color indexed="10"/>
        <rFont val="Arial"/>
        <family val="2"/>
      </rPr>
      <t>O-N / kg N leached</t>
    </r>
  </si>
  <si>
    <t>N-huuhtouma, kg/ha/v</t>
  </si>
  <si>
    <t>Luonnonhoitopeltonurmi</t>
  </si>
  <si>
    <t>Viherlannoitusnurmi</t>
  </si>
  <si>
    <t>Kerääjäkasvi</t>
  </si>
  <si>
    <t>Sitoumus luonnonmukaisesta tuotannosta</t>
  </si>
  <si>
    <t>maanparannus- ja saneerauskasvit</t>
  </si>
  <si>
    <t>N2O-päästö, kg N2O/ha/vuosi</t>
  </si>
  <si>
    <t xml:space="preserve">t CO2_ekv./ha/vuosi </t>
  </si>
  <si>
    <t>huuhtouma N2O, t CO2 ekv AR4</t>
  </si>
  <si>
    <t>t CO2-ekv/vuosi</t>
  </si>
  <si>
    <t>yht maataloussektori, kt</t>
  </si>
  <si>
    <t>ala cap-suunnitelma</t>
  </si>
  <si>
    <t>ala -30 cm</t>
  </si>
  <si>
    <t>märkä nurmi LULUCF, t CO2-ekv/ha</t>
  </si>
  <si>
    <t>märkä nurmi maataloussektori, t CO2-ekv/ha</t>
  </si>
  <si>
    <t>LULUFC grass</t>
  </si>
  <si>
    <t>maataloussektori grass</t>
  </si>
  <si>
    <t>päästövähenemä LULUCF, t CO2/ha</t>
  </si>
  <si>
    <t>päästövähenemä maataloussektori, t CO2-ekv/ha</t>
  </si>
  <si>
    <t>LULUCF-sektori kt CO2-ekv</t>
  </si>
  <si>
    <t>kiv maaperä</t>
  </si>
  <si>
    <t>TABLE 4.A   SECTORAL BACKGROUND DATA FOR LAND USE, LAND-USE CHANGE AND FORESTRY</t>
  </si>
  <si>
    <t>Forest land</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</si>
  <si>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</si>
  <si>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</si>
  <si>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</si>
  <si>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</si>
  <si>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</si>
  <si>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</si>
  <si>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Net carbon stock change in soils</t>
    </r>
    <r>
      <rPr>
        <b/>
        <vertAlign val="superscript"/>
        <sz val="9"/>
        <rFont val="Times New Roman"/>
        <family val="1"/>
      </rPr>
      <t xml:space="preserve"> (4) (5) (6) </t>
    </r>
  </si>
  <si>
    <r>
      <t>Mineral soils</t>
    </r>
    <r>
      <rPr>
        <b/>
        <vertAlign val="superscript"/>
        <sz val="9"/>
        <rFont val="Times New Roman"/>
        <family val="1"/>
      </rPr>
      <t>(5)</t>
    </r>
  </si>
  <si>
    <t xml:space="preserve">A. Total forest land </t>
  </si>
  <si>
    <t>IE,NA</t>
  </si>
  <si>
    <t>1. Forest land remaining forest land</t>
  </si>
  <si>
    <t>Carbon_stock_change</t>
  </si>
  <si>
    <r>
      <t>2. Land converted to forest land</t>
    </r>
    <r>
      <rPr>
        <vertAlign val="superscript"/>
        <sz val="9"/>
        <rFont val="Times New Roman"/>
        <family val="1"/>
      </rPr>
      <t>(8)</t>
    </r>
  </si>
  <si>
    <t>2.1 Cropland converted to forest land</t>
  </si>
  <si>
    <t>CL-to-FL</t>
  </si>
  <si>
    <t>2.2 Grassland converted to forest land</t>
  </si>
  <si>
    <t>GL-to-FL</t>
  </si>
  <si>
    <t>2.3 Wetlands converted to forest land</t>
  </si>
  <si>
    <t>Peat_Extraction</t>
  </si>
  <si>
    <t>Drained-WL</t>
  </si>
  <si>
    <t>2.4 Settlements converted to forest land</t>
  </si>
  <si>
    <t>SL-to-FL</t>
  </si>
  <si>
    <t>2.5 Other land converted to forest land</t>
  </si>
  <si>
    <t>OL-to-FL</t>
  </si>
  <si>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</si>
  <si>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</si>
  <si>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r>
      <t xml:space="preserve">(4) </t>
    </r>
    <r>
      <rPr>
        <sz val="9"/>
        <rFont val="Times New Roman"/>
        <family val="1"/>
      </rPr>
      <t xml:space="preserve">The signs for estimates of gains in carbon stocks are positive (+) and of losses in carbon stocks are negative (–).  </t>
    </r>
  </si>
  <si>
    <r>
      <t xml:space="preserve">(5) </t>
    </r>
    <r>
      <rPr>
        <sz val="9"/>
        <rFont val="Times New Roman"/>
        <family val="1"/>
      </rPr>
      <t>When Parties cannot estimate carbon stock changes for organic and mineral soil separately, these should be reported under mineral soils.</t>
    </r>
  </si>
  <si>
    <r>
      <t>(6)</t>
    </r>
    <r>
      <rPr>
        <sz val="9"/>
        <rFont val="Times New Roman"/>
        <family val="1"/>
      </rPr>
      <t xml:space="preserve"> Parties who wish to do so may report annual on-site CO2-C emissions/removals and off-site CO2-C emissions from drained and rewetted organic soils here.</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</si>
  <si>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</si>
  <si>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(8)</t>
    </r>
    <r>
      <rPr>
        <sz val="9"/>
        <rFont val="Times New Roman"/>
        <family val="1"/>
      </rPr>
      <t xml:space="preserve"> A Party may report aggregated estimates for all conversions of land to forest land when data are not available to report them separately. A Party should specify in the documentation box which types of land conversion are included.</t>
    </r>
  </si>
  <si>
    <t>org cropland drained, annual t CO2/ha</t>
  </si>
  <si>
    <t>org cropland drained, grass t CO2/ha</t>
  </si>
  <si>
    <t>erotus metsä-viljelty</t>
  </si>
  <si>
    <t>org puusto</t>
  </si>
  <si>
    <t>kiv puusto</t>
  </si>
  <si>
    <t>org maaperä yksivuotisilta</t>
  </si>
  <si>
    <t>org maaperä nurmelta</t>
  </si>
  <si>
    <t>Table 4.1  LAND TRANSITION MATRIX</t>
  </si>
  <si>
    <r>
      <t>Areas and changes in areas between the previous and the current inventory year</t>
    </r>
    <r>
      <rPr>
        <b/>
        <vertAlign val="superscript"/>
        <sz val="10"/>
        <rFont val="Times New Roman"/>
        <family val="1"/>
      </rPr>
      <t>(1)</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</si>
  <si>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</si>
  <si>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</si>
  <si>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</si>
  <si>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</si>
  <si>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</si>
  <si>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</si>
  <si>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</si>
  <si>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</si>
  <si>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</si>
  <si>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</si>
  <si>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</si>
  <si>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</si>
  <si>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</si>
  <si>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</si>
  <si>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t>Forest land (managed)</t>
    </r>
    <r>
      <rPr>
        <vertAlign val="superscript"/>
        <sz val="9"/>
        <rFont val="Times New Roman"/>
        <family val="1"/>
      </rPr>
      <t>(2)</t>
    </r>
  </si>
  <si>
    <r>
      <t>Forest land (unmanaged)</t>
    </r>
    <r>
      <rPr>
        <vertAlign val="superscript"/>
        <sz val="9"/>
        <rFont val="Times New Roman"/>
        <family val="1"/>
      </rPr>
      <t>(2)</t>
    </r>
  </si>
  <si>
    <r>
      <t>Cropland</t>
    </r>
    <r>
      <rPr>
        <vertAlign val="superscript"/>
        <sz val="9"/>
        <rFont val="Times New Roman"/>
        <family val="1"/>
      </rPr>
      <t xml:space="preserve">(2) </t>
    </r>
  </si>
  <si>
    <r>
      <t>Grassland (managed)</t>
    </r>
    <r>
      <rPr>
        <vertAlign val="superscript"/>
        <sz val="9"/>
        <rFont val="Times New Roman"/>
        <family val="1"/>
      </rPr>
      <t>(2)</t>
    </r>
  </si>
  <si>
    <r>
      <t>Grassland (unmanaged)</t>
    </r>
    <r>
      <rPr>
        <vertAlign val="superscript"/>
        <sz val="9"/>
        <rFont val="Times New Roman"/>
        <family val="1"/>
      </rPr>
      <t>(2)</t>
    </r>
  </si>
  <si>
    <r>
      <t>Wetlands (managed)</t>
    </r>
    <r>
      <rPr>
        <vertAlign val="superscript"/>
        <sz val="9"/>
        <rFont val="Times New Roman"/>
        <family val="1"/>
      </rPr>
      <t>(2)</t>
    </r>
  </si>
  <si>
    <r>
      <t>Wetlands (unmanaged)</t>
    </r>
    <r>
      <rPr>
        <vertAlign val="superscript"/>
        <sz val="9"/>
        <rFont val="Times New Roman"/>
        <family val="1"/>
      </rPr>
      <t>(2)</t>
    </r>
  </si>
  <si>
    <r>
      <t>Settlements</t>
    </r>
    <r>
      <rPr>
        <vertAlign val="superscript"/>
        <sz val="9"/>
        <rFont val="Times New Roman"/>
        <family val="1"/>
      </rPr>
      <t>(2)</t>
    </r>
  </si>
  <si>
    <r>
      <t>Other land</t>
    </r>
    <r>
      <rPr>
        <vertAlign val="superscript"/>
        <sz val="9"/>
        <rFont val="Times New Roman"/>
        <family val="1"/>
      </rPr>
      <t>(2)</t>
    </r>
  </si>
  <si>
    <r>
      <t xml:space="preserve">Total unmanaged land </t>
    </r>
    <r>
      <rPr>
        <vertAlign val="superscript"/>
        <sz val="9"/>
        <rFont val="Times New Roman"/>
        <family val="1"/>
      </rPr>
      <t>(3)</t>
    </r>
  </si>
  <si>
    <t>Final area</t>
  </si>
  <si>
    <r>
      <t>Net change</t>
    </r>
    <r>
      <rPr>
        <b/>
        <vertAlign val="superscript"/>
        <sz val="9"/>
        <rFont val="Times New Roman"/>
        <family val="1"/>
      </rPr>
      <t>(4)</t>
    </r>
  </si>
  <si>
    <r>
      <t>(1)</t>
    </r>
    <r>
      <rPr>
        <sz val="9"/>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</si>
  <si>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</si>
  <si>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(3)</t>
    </r>
    <r>
      <rPr>
        <sz val="9"/>
        <rFont val="Times New Roman"/>
        <family val="1"/>
      </rPr>
      <t xml:space="preserve"> Parties may report only the total area of unmanaged land area and enter the notation key IE under the individual unmanaged land uses categories.</t>
    </r>
  </si>
  <si>
    <r>
      <t>(4)</t>
    </r>
    <r>
      <rPr>
        <sz val="9"/>
        <rFont val="Times New Roman"/>
        <family val="1"/>
      </rPr>
      <t xml:space="preserve"> Net change is the final area minus the initial area for each of the conversion categories shown at the head of the corresponding row. In the final area row the net change equals zero.</t>
    </r>
  </si>
  <si>
    <t>TABLE 4(III)   SECTORAL BACKGROUND DATA FOR LAND USE, LAND-USE CHANGE AND FORESTRY</t>
  </si>
  <si>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</si>
  <si>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resulting from change of land use or management of mineral soils</t>
    </r>
    <r>
      <rPr>
        <b/>
        <vertAlign val="superscript"/>
        <sz val="12"/>
        <rFont val="Times New Roman"/>
        <family val="1"/>
      </rPr>
      <t>(1)</t>
    </r>
  </si>
  <si>
    <r>
      <t>EMISSIONS</t>
    </r>
    <r>
      <rPr>
        <b/>
        <vertAlign val="superscript"/>
        <sz val="9"/>
        <rFont val="Times New Roman"/>
        <family val="1"/>
      </rPr>
      <t xml:space="preserve"> </t>
    </r>
  </si>
  <si>
    <r>
      <t>Land-use category</t>
    </r>
    <r>
      <rPr>
        <b/>
        <vertAlign val="superscript"/>
        <sz val="9"/>
        <rFont val="Times New Roman"/>
        <family val="1"/>
      </rPr>
      <t>(2)</t>
    </r>
  </si>
  <si>
    <r>
      <t xml:space="preserve">Area </t>
    </r>
    <r>
      <rPr>
        <b/>
        <vertAlign val="superscript"/>
        <sz val="9"/>
        <rFont val="Times New Roman"/>
        <family val="1"/>
      </rPr>
      <t>(3)</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</si>
  <si>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</si>
  <si>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t xml:space="preserve">(kha) </t>
  </si>
  <si>
    <r>
      <t>(kg N</t>
    </r>
    <r>
      <rPr>
        <b/>
        <vertAlign val="subscript"/>
        <sz val="9"/>
        <rFont val="Times New Roman"/>
        <family val="1"/>
      </rPr>
      <t>2</t>
    </r>
    <r>
      <rPr>
        <b/>
        <sz val="9"/>
        <rFont val="Times New Roman"/>
        <family val="1"/>
      </rPr>
      <t>O–N/ha)</t>
    </r>
  </si>
  <si>
    <t xml:space="preserve">Total all land-use categories </t>
  </si>
  <si>
    <t>A. Forest land</t>
  </si>
  <si>
    <r>
      <t>2. Lands converted to forest land</t>
    </r>
    <r>
      <rPr>
        <vertAlign val="superscript"/>
        <sz val="9"/>
        <rFont val="Times New Roman"/>
        <family val="1"/>
      </rPr>
      <t>(5)</t>
    </r>
  </si>
  <si>
    <t>4.A.2.1  Cropland converted to forest land</t>
  </si>
  <si>
    <t>4.A.2.2  Grassland converted to forest land</t>
  </si>
  <si>
    <t>4.A.2.3  Wetlands converted to forest land</t>
  </si>
  <si>
    <t>4.A.2.4  Settlements converted to forest land</t>
  </si>
  <si>
    <t>4.A.2.5  Other land converted to forest land</t>
  </si>
  <si>
    <r>
      <t>B. Cropland</t>
    </r>
    <r>
      <rPr>
        <b/>
        <vertAlign val="superscript"/>
        <sz val="9"/>
        <rFont val="Times New Roman"/>
        <family val="1"/>
      </rPr>
      <t xml:space="preserve">(2) </t>
    </r>
  </si>
  <si>
    <r>
      <t>2. Lands converted to cropland</t>
    </r>
    <r>
      <rPr>
        <vertAlign val="superscript"/>
        <sz val="9"/>
        <rFont val="Times New Roman"/>
        <family val="1"/>
      </rPr>
      <t>(5)</t>
    </r>
  </si>
  <si>
    <t>4.B.2.1  Forest land converted to cropland</t>
  </si>
  <si>
    <t>4.B.2.2  Grassland converted to cropland</t>
  </si>
  <si>
    <t>4.B.2.3  Wetlands converted to cropland</t>
  </si>
  <si>
    <t>4.B.2.4  Settlements converted to cropland</t>
  </si>
  <si>
    <t>C. Grasslands</t>
  </si>
  <si>
    <t>1. Grasslands remaining grasslands</t>
  </si>
  <si>
    <r>
      <t>2. Lands converted to grasslands</t>
    </r>
    <r>
      <rPr>
        <vertAlign val="superscript"/>
        <sz val="9"/>
        <rFont val="Times New Roman"/>
        <family val="1"/>
      </rPr>
      <t>(5)</t>
    </r>
  </si>
  <si>
    <t>4.C.2.1  Forest land converted to grasslands</t>
  </si>
  <si>
    <t>4.C.2.2  Cropland converted to grasslands</t>
  </si>
  <si>
    <t>4.C.2.3  Wetlands converted to grasslands</t>
  </si>
  <si>
    <t>4.C.2.4  Settlements converted to grasslands</t>
  </si>
  <si>
    <t>D. Wetlands</t>
  </si>
  <si>
    <t>1. Wetlands remaining wetlands</t>
  </si>
  <si>
    <r>
      <t>2. Lands converted to wetlands</t>
    </r>
    <r>
      <rPr>
        <vertAlign val="superscript"/>
        <sz val="9"/>
        <rFont val="Times New Roman"/>
        <family val="1"/>
      </rPr>
      <t>(5)</t>
    </r>
  </si>
  <si>
    <r>
      <t>E. Settlements</t>
    </r>
    <r>
      <rPr>
        <i/>
        <sz val="9"/>
        <rFont val="Times New Roman"/>
        <family val="1"/>
      </rPr>
      <t xml:space="preserve"> </t>
    </r>
  </si>
  <si>
    <t>1. Settlements remaining settlements</t>
  </si>
  <si>
    <r>
      <t>2. Lands converted to settlements</t>
    </r>
    <r>
      <rPr>
        <vertAlign val="superscript"/>
        <sz val="9"/>
        <rFont val="Times New Roman"/>
        <family val="1"/>
      </rPr>
      <t>(5)</t>
    </r>
  </si>
  <si>
    <t>4.E.2.1  Forest land converted to settlements</t>
  </si>
  <si>
    <t>F. Other land</t>
  </si>
  <si>
    <r>
      <t xml:space="preserve">  (1)</t>
    </r>
    <r>
      <rPr>
        <sz val="9"/>
        <rFont val="Times New Roman"/>
        <family val="1"/>
      </rPr>
      <t xml:space="preserve"> Methodologies for N2O emissions from N mineralization associated with loss of soil organic matter resulting from change of land use or management of mineral soils are based on equations 11.1, 11.2 and 11.8 of the 2006 IPCC Guidelines. N2O immobilization associated with gain of organic matter resulting from change of land use or management of mineral soils can be reported only when a Party applies a tier 3 approach in the relevant calculation. </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</si>
  <si>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</si>
  <si>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t xml:space="preserve"> (3)</t>
    </r>
    <r>
      <rPr>
        <sz val="9"/>
        <rFont val="Times New Roman"/>
        <family val="1"/>
      </rPr>
      <t xml:space="preserve"> 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t>
    </r>
  </si>
  <si>
    <r>
      <t xml:space="preserve">(4)  </t>
    </r>
    <r>
      <rPr>
        <sz val="9"/>
        <rFont val="Times New Roman"/>
        <family val="1"/>
      </rPr>
      <t>In the calculation of the implied emission factor, N2O emissions are converted to N2O–N by multiplying by 28/44.</t>
    </r>
  </si>
  <si>
    <r>
      <t xml:space="preserve">(5)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</si>
  <si>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t>org N2O cropland drained, annual, maataloussektori, t CO2-ekv</t>
  </si>
  <si>
    <t>org N2O cropland drained, grass, maataloussektori, t CO2-ekv</t>
  </si>
  <si>
    <t>t CO2-ekv</t>
  </si>
  <si>
    <t>TABLE 4(II)   SECTORAL BACKGROUND DATA FOR LAND USE, LAND-USE CHANGE AND FORESTRY</t>
  </si>
  <si>
    <t xml:space="preserve">Emissions and removals from drainage and rewetting and other management of organic and mineral soils </t>
  </si>
  <si>
    <r>
      <t>Subdivision</t>
    </r>
    <r>
      <rPr>
        <b/>
        <vertAlign val="superscript"/>
        <sz val="9"/>
        <rFont val="Times New Roman"/>
        <family val="1"/>
      </rPr>
      <t>(2)</t>
    </r>
  </si>
  <si>
    <t xml:space="preserve">IMPLIED EMISSION FACTORS </t>
  </si>
  <si>
    <r>
      <t>Land-use category</t>
    </r>
    <r>
      <rPr>
        <b/>
        <vertAlign val="superscript"/>
        <sz val="9"/>
        <rFont val="Times New Roman"/>
        <family val="1"/>
      </rPr>
      <t>(1)</t>
    </r>
  </si>
  <si>
    <t>Area</t>
  </si>
  <si>
    <r>
      <t>CO</t>
    </r>
    <r>
      <rPr>
        <b/>
        <vertAlign val="subscript"/>
        <sz val="9"/>
        <rFont val="Times New Roman"/>
        <family val="1"/>
      </rPr>
      <t>2</t>
    </r>
    <r>
      <rPr>
        <b/>
        <sz val="9"/>
        <rFont val="Times New Roman"/>
        <family val="1"/>
      </rPr>
      <t xml:space="preserve"> per area </t>
    </r>
  </si>
  <si>
    <r>
      <t>N</t>
    </r>
    <r>
      <rPr>
        <b/>
        <vertAlign val="subscript"/>
        <sz val="9"/>
        <rFont val="Times New Roman"/>
        <family val="1"/>
      </rPr>
      <t>2</t>
    </r>
    <r>
      <rPr>
        <b/>
        <sz val="9"/>
        <rFont val="Times New Roman"/>
        <family val="1"/>
      </rPr>
      <t>O–N per area</t>
    </r>
    <r>
      <rPr>
        <b/>
        <vertAlign val="superscript"/>
        <sz val="9"/>
        <rFont val="Times New Roman"/>
        <family val="1"/>
      </rPr>
      <t>(3)</t>
    </r>
  </si>
  <si>
    <r>
      <t>CH</t>
    </r>
    <r>
      <rPr>
        <b/>
        <vertAlign val="subscript"/>
        <sz val="9"/>
        <rFont val="Times New Roman"/>
        <family val="1"/>
      </rPr>
      <t xml:space="preserve">4 </t>
    </r>
    <r>
      <rPr>
        <b/>
        <sz val="9"/>
        <rFont val="Times New Roman"/>
        <family val="1"/>
      </rPr>
      <t>per</t>
    </r>
    <r>
      <rPr>
        <b/>
        <vertAlign val="subscript"/>
        <sz val="9"/>
        <rFont val="Times New Roman"/>
        <family val="1"/>
      </rPr>
      <t xml:space="preserve"> </t>
    </r>
    <r>
      <rPr>
        <b/>
        <sz val="9"/>
        <rFont val="Times New Roman"/>
        <family val="1"/>
      </rPr>
      <t>area</t>
    </r>
  </si>
  <si>
    <r>
      <t>CO</t>
    </r>
    <r>
      <rPr>
        <b/>
        <vertAlign val="subscript"/>
        <sz val="9"/>
        <rFont val="Times New Roman"/>
        <family val="1"/>
      </rPr>
      <t>2</t>
    </r>
    <r>
      <rPr>
        <b/>
        <vertAlign val="superscript"/>
        <sz val="9"/>
        <rFont val="Times New Roman"/>
        <family val="1"/>
      </rPr>
      <t>(4)</t>
    </r>
  </si>
  <si>
    <r>
      <t>CH</t>
    </r>
    <r>
      <rPr>
        <b/>
        <vertAlign val="subscript"/>
        <sz val="9"/>
        <rFont val="Times New Roman"/>
        <family val="1"/>
      </rPr>
      <t>4</t>
    </r>
  </si>
  <si>
    <r>
      <t>(kg CO</t>
    </r>
    <r>
      <rPr>
        <b/>
        <vertAlign val="subscript"/>
        <sz val="9"/>
        <rFont val="Times New Roman"/>
        <family val="1"/>
      </rPr>
      <t>2</t>
    </r>
    <r>
      <rPr>
        <b/>
        <sz val="9"/>
        <rFont val="Times New Roman"/>
        <family val="1"/>
      </rPr>
      <t>/ha)</t>
    </r>
  </si>
  <si>
    <r>
      <t>(kg CH</t>
    </r>
    <r>
      <rPr>
        <b/>
        <vertAlign val="subscript"/>
        <sz val="9"/>
        <rFont val="Times New Roman"/>
        <family val="1"/>
      </rPr>
      <t>4</t>
    </r>
    <r>
      <rPr>
        <b/>
        <sz val="9"/>
        <rFont val="Times New Roman"/>
        <family val="1"/>
      </rPr>
      <t>/ha)</t>
    </r>
  </si>
  <si>
    <t>Total for all land use categories</t>
  </si>
  <si>
    <t>NO,IE,NA</t>
  </si>
  <si>
    <r>
      <t>A. Forest land</t>
    </r>
    <r>
      <rPr>
        <b/>
        <vertAlign val="superscript"/>
        <sz val="9"/>
        <rFont val="Times New Roman"/>
        <family val="1"/>
      </rPr>
      <t>(5)</t>
    </r>
  </si>
  <si>
    <t>Total organic soils</t>
  </si>
  <si>
    <t>Drained organic soils</t>
  </si>
  <si>
    <t>Rewetted organic soils</t>
  </si>
  <si>
    <r>
      <t xml:space="preserve">Other </t>
    </r>
    <r>
      <rPr>
        <i/>
        <sz val="9"/>
        <rFont val="Times New Roman"/>
        <family val="1"/>
      </rPr>
      <t>(please specify)</t>
    </r>
  </si>
  <si>
    <t xml:space="preserve">Total mineral soils </t>
  </si>
  <si>
    <t>Rewetted mineral soils</t>
  </si>
  <si>
    <r>
      <t xml:space="preserve">B. Cropland </t>
    </r>
    <r>
      <rPr>
        <b/>
        <vertAlign val="superscript"/>
        <sz val="9"/>
        <rFont val="Times New Roman"/>
        <family val="1"/>
      </rPr>
      <t>(5), (6)</t>
    </r>
  </si>
  <si>
    <r>
      <t xml:space="preserve">C.  Grassland </t>
    </r>
    <r>
      <rPr>
        <b/>
        <vertAlign val="superscript"/>
        <sz val="9"/>
        <rFont val="Times New Roman"/>
        <family val="1"/>
      </rPr>
      <t>(5)</t>
    </r>
  </si>
  <si>
    <t>NE,NA</t>
  </si>
  <si>
    <r>
      <t>D. Wetlands</t>
    </r>
    <r>
      <rPr>
        <b/>
        <vertAlign val="superscript"/>
        <sz val="9"/>
        <rFont val="Times New Roman"/>
        <family val="1"/>
      </rPr>
      <t xml:space="preserve"> (5)</t>
    </r>
  </si>
  <si>
    <t>D.1 Peat extraction lands</t>
  </si>
  <si>
    <t>Drained_Org_Soils</t>
  </si>
  <si>
    <t>Rewetted_Org_Soils</t>
  </si>
  <si>
    <t>Other_Org</t>
  </si>
  <si>
    <t>Rewetted_Min_Soils</t>
  </si>
  <si>
    <t>Other_Min</t>
  </si>
  <si>
    <t>D.2 Flooded lands</t>
  </si>
  <si>
    <r>
      <t xml:space="preserve">D.3 Other wetlands </t>
    </r>
    <r>
      <rPr>
        <i/>
        <sz val="9"/>
        <rFont val="Times New Roman"/>
        <family val="1"/>
      </rPr>
      <t>(please specify)</t>
    </r>
  </si>
  <si>
    <r>
      <t xml:space="preserve">H. Other </t>
    </r>
    <r>
      <rPr>
        <b/>
        <i/>
        <sz val="9"/>
        <rFont val="Times New Roman"/>
        <family val="1"/>
      </rPr>
      <t>(please specify)</t>
    </r>
    <r>
      <rPr>
        <b/>
        <sz val="9"/>
        <rFont val="Times New Roman"/>
        <family val="1"/>
      </rPr>
      <t xml:space="preserve"> </t>
    </r>
    <r>
      <rPr>
        <b/>
        <vertAlign val="superscript"/>
        <sz val="9"/>
        <rFont val="Times New Roman"/>
        <family val="1"/>
      </rPr>
      <t>(5)</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</si>
  <si>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</si>
  <si>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</si>
  <si>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</si>
  <si>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wetland 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</si>
  <si>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r>
      <t>(5)</t>
    </r>
    <r>
      <rPr>
        <sz val="9"/>
        <rFont val="Times New Roman"/>
        <family val="1"/>
      </rPr>
      <t xml:space="preserve"> In table 4, these emissions will be added to the respective land-use category. </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</si>
  <si>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</si>
  <si>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t>kiv N2O cropland converted from forest, t CO2-ekv LULUCF</t>
  </si>
  <si>
    <t>org N2O forest LULUCF</t>
  </si>
  <si>
    <t>org N2O metsä LULUCF</t>
  </si>
  <si>
    <t>kiv N2O LULUCF</t>
  </si>
  <si>
    <t>org N2O yksivuotisilta, maataloussektori</t>
  </si>
  <si>
    <t>org N2O nurmelta, maataloussektori</t>
  </si>
  <si>
    <t>päästökertoimet</t>
  </si>
  <si>
    <t>ka</t>
  </si>
  <si>
    <t>LULUCF kiv</t>
  </si>
  <si>
    <t>LULUCF org</t>
  </si>
  <si>
    <t>maataloussektori org</t>
  </si>
  <si>
    <t>yhteensä</t>
  </si>
  <si>
    <t>Talviaikainen kasvipeitteisyys</t>
  </si>
  <si>
    <t>N-huuhtouma, kg/v</t>
  </si>
  <si>
    <t>ominaisvaikuttavuus maataloussektori</t>
  </si>
  <si>
    <t>CO2, neg on päästö, pos on nielu</t>
  </si>
  <si>
    <t>org forest soil t CO2/ha</t>
  </si>
  <si>
    <t>kiv forest soil t CO2/ha</t>
  </si>
  <si>
    <t>puustobiomassa raivausvuonna t CO2/ha</t>
  </si>
  <si>
    <t>kiv converted cropland soil t CO2/ha</t>
  </si>
  <si>
    <t>vähenemä, sama sekä turve- että kivennäismaille</t>
  </si>
  <si>
    <t>päästövähenemä, t CO2</t>
  </si>
  <si>
    <t>päästövähenemä N2O, t CO2-ekv</t>
  </si>
  <si>
    <t>Turvemaita raivattu 2015-2019 keskimäärin 1961 ha vuodessa. Pyöristetään 2000 hehtaariin. GAECilla yksivuotisten raivaus, osuus 40%, poistuu. Lisäksi nurmen pysyvyyden vaatimus vähentää raivausta. Raivauksen vähenemä on siis 900 ha/vuosi.</t>
  </si>
  <si>
    <t>Kivennäismaita raivattu 2015-2019 keskimäärin 1980 ha vuodessa. Pyöristetään 2000 hehtaariin. GAECilla yksivuotisten raivaus, osuus 40%, poistuu. Lisäksi nurmen pysyvyyden vaatimus vähentää raivausta. Raivauksen vähenemä on siis 900 ha/vuosi.</t>
  </si>
  <si>
    <t>GAEC 6 Maanmuokkauksen hallinta</t>
  </si>
  <si>
    <t>GAEC 1 Pysyvä nurmi</t>
  </si>
  <si>
    <t>GAEC 10 Pysyvä nurmi Natura 2000-alueella</t>
  </si>
  <si>
    <t>Jäsenmaille vapaaehtoien KIV raivaus</t>
  </si>
  <si>
    <r>
      <rPr>
        <b/>
        <sz val="11"/>
        <color theme="1"/>
        <rFont val="Calibri"/>
        <family val="2"/>
        <scheme val="minor"/>
      </rPr>
      <t>GAEC 2</t>
    </r>
    <r>
      <rPr>
        <sz val="11"/>
        <color theme="1"/>
        <rFont val="Calibri"/>
        <family val="2"/>
        <scheme val="minor"/>
      </rPr>
      <t xml:space="preserve"> Kosteikot ja turvemaat Vuoden 2022? jälkeen maatalousmaaksi muusta käytöstä raivaamalla tai muilla keinoilla otettu turvemaa-alue on oltava pysyvästi nurmella.  Nurmikasvusto voidaan uusia suorakylvönä tai kevennetyllä muokkauksella niin, että uusi nurmikasvusto kylvetään välittömästi aiemman kasvuston muokkauksen jälkeen. Mahdollisesti tämän rajoituksen ulkopuolelle jätettäisiin kullakin peruslohkolla lohkon muotoa parantavat enintään 0,05 ha:n suuruiset kulmien oikaisut yms.  Turvemaan määritelmä: Turvemaalla tarkoitetaan maata, jonka muokkauskerroksen orgaanisen aineksen pitoisuus on vähintään 40 %. Suomessa kosteikot eivät kuulu maatalousmaan alaan, joten ehdollisuuteen ei aseteta kosteikkoja koskevaa vaatimusta. </t>
    </r>
  </si>
  <si>
    <r>
      <rPr>
        <b/>
        <sz val="11"/>
        <color theme="1"/>
        <rFont val="Calibri"/>
        <family val="2"/>
        <scheme val="minor"/>
      </rPr>
      <t>Jäsenmaalle vapaaehtoinen GAEC</t>
    </r>
    <r>
      <rPr>
        <sz val="11"/>
        <color theme="1"/>
        <rFont val="Calibri"/>
        <family val="2"/>
        <scheme val="minor"/>
      </rPr>
      <t xml:space="preserve"> Vuoden 2022? jälkeen maatalousmaaksi muusta käytöstä raivaamalla tai muilla keinoilla otettu kivennäismaa-alue on oltava pysyvästi nurmella. Nurmikasvusto voidaan uusia suorakylvönä tai kevennetyllä muokkauksella niin, että uusi nurmikasvusto kylvetään välittömästi aiemman kasvuston muokkauksen jälkeen. Mahdollisesti tämän rajoituksen ulkopuolelle jätettäisiin kullakin peruslohkolla lohkon muotoa parantavat enintään 0,05 ha:n kulmien oikaisut yms.   </t>
    </r>
  </si>
  <si>
    <t>GAEC 4 Suojakaistat vesistöjen varrella</t>
  </si>
  <si>
    <t>ha-lisäys</t>
  </si>
  <si>
    <t>kt CO2-ekv/vuosi</t>
  </si>
  <si>
    <t>GAEC 7 Vähimmäismaanpeite (Kynnetty kevyesti muokatuksi)</t>
  </si>
  <si>
    <t>kaltevat suojakaistat</t>
  </si>
  <si>
    <t>ala tällä kaudella</t>
  </si>
  <si>
    <t>Suojavyöhykkeet ja turvepeltojen nurmet</t>
  </si>
  <si>
    <t>ominaisvaikuttavuus LULUCF-sektori</t>
  </si>
  <si>
    <t>Valumavesien käsittely</t>
  </si>
  <si>
    <t>kosteikkojen hoito</t>
  </si>
  <si>
    <t>WAM-pinta-alat maatalous</t>
  </si>
  <si>
    <t>kosteikkojen lisäys/kosteikkoinvestointi</t>
  </si>
  <si>
    <t>ilmastokosteikot lisäys</t>
  </si>
  <si>
    <t>märät kosteikot kivennäismaalla lisäys</t>
  </si>
  <si>
    <t>märät kosteikot turvemaalla lisäys</t>
  </si>
  <si>
    <t>Ilmastokosteikot ennallistetun kertoimilla</t>
  </si>
  <si>
    <t>Laskentaan päästökerroin IPCC:n matalien keinotekoisten lammikkojen ja ojien/kanavien puolimaista: 300 kg CH4/ha eli 8 t CO2-ekv./ha (AR4)</t>
  </si>
  <si>
    <t>t CO2-ekv./ha</t>
  </si>
  <si>
    <t>Muut kosteikot</t>
  </si>
  <si>
    <t>päästö t CO2-ekv/ha/ha</t>
  </si>
  <si>
    <t>päästö CO-ekv</t>
  </si>
  <si>
    <t>päästö viljelysmaa</t>
  </si>
  <si>
    <t>päästövähennys, t CO2-ekv</t>
  </si>
  <si>
    <t>päästövähennys, t CO2-ekv/ha</t>
  </si>
  <si>
    <t>kt CO2-ekv</t>
  </si>
  <si>
    <t>kosteikot, keskimäärin vuodessa</t>
  </si>
  <si>
    <t>päästövähennys kt CO2-ekv. LULUCF</t>
  </si>
  <si>
    <t>päästövähennys t CO2-ekv/ha LULUCF</t>
  </si>
  <si>
    <t>ilmastokosteikot turvemaalla LULUCF</t>
  </si>
  <si>
    <t>märät kosteikot turvemaalla LULUCF</t>
  </si>
  <si>
    <t>märät kosteikot kivennäismaalla LULUCF</t>
  </si>
  <si>
    <t>ilmastokosteikot turvemaalla AGRI</t>
  </si>
  <si>
    <t>märät kosteikot turvemaalla AGRI</t>
  </si>
  <si>
    <t>märät kosteikot kivennäismaalla AGRI</t>
  </si>
  <si>
    <t>t CO2-ekv/ha</t>
  </si>
  <si>
    <t>päästövähennys kt CO2-ekv. AGRI</t>
  </si>
  <si>
    <t>päästövähennys t CO2-ekv/ha AGRI</t>
  </si>
  <si>
    <t>tarkistus</t>
  </si>
  <si>
    <t>ominaisvaikuttavuus yhteensä</t>
  </si>
  <si>
    <t>ominaisvaikuttavuus ka, t</t>
  </si>
  <si>
    <t>GAEC 2 Kosteikot ja turvemaat</t>
  </si>
  <si>
    <t>maataloussektori org + huuhtouma</t>
  </si>
  <si>
    <t>päästövähenemä yhteensä, kt CO2-ekv</t>
  </si>
  <si>
    <t>Tilakohtainen toimenpide</t>
  </si>
  <si>
    <t>Kosteikkojen hoito -sopimus</t>
  </si>
  <si>
    <t>Ehdollisuus</t>
  </si>
  <si>
    <t>GAEC 9 Haitallisten vieraslajien torjunta Hukkakaura, kaukasianjättiputki, persianjättiputki ja armenianjättiputki on torjuttava maatalousmaalla.</t>
  </si>
  <si>
    <t xml:space="preserve">Lakisääteiset hoitovaatimukset </t>
  </si>
  <si>
    <t>Ekojärjestelmä</t>
  </si>
  <si>
    <t>Ympäristökorvaus</t>
  </si>
  <si>
    <t>Tilakohtainen  toimenpide</t>
  </si>
  <si>
    <t>Vaihtoehtoiset kasvinsuojelumenetelmät puutarhakasveilla</t>
  </si>
  <si>
    <t>Lintupellot</t>
  </si>
  <si>
    <t>Maatalousluonnon ja maiseman hoito -sopimus</t>
  </si>
  <si>
    <t>Alkuperäisrotujen kasvatus -sopimus</t>
  </si>
  <si>
    <t>Muut geenipankkitoimenpiteet</t>
  </si>
  <si>
    <t>Ei-tuotannollinen investointi</t>
  </si>
  <si>
    <t>Kosteikkojen investointi</t>
  </si>
  <si>
    <t>Luonnonmukainen tuotanto</t>
  </si>
  <si>
    <t>Investointituet</t>
  </si>
  <si>
    <t>Maatilojen energiainvestoinnit</t>
  </si>
  <si>
    <t>Ympäristön tilaa ja kestävää tuotantotapaa edistävät investoinnit</t>
  </si>
  <si>
    <t>Eläinten hyvinvointi</t>
  </si>
  <si>
    <t>Hyvinvointisuunnitelmat</t>
  </si>
  <si>
    <t>Laidunnus</t>
  </si>
  <si>
    <t>GAEC 1 Pysyvä nurmi Pysyvän nurmen viitesuhde eli pysyvän nurmen suhde maatalousmaan alaan ei saa koko maassa vähentyä yli 5 %. Jos vähenee, otetaan käyttöön ennallistamismenettely ja pysyvän nurmen muuhun käyttöön ottamisen kielto.</t>
  </si>
  <si>
    <t xml:space="preserve">GAEC 2 Kosteikot ja turvemaat Vuoden 2022 jälkeen maatalousmaaksi muusta käytöstä raivaamalla tai muilla keinoilla otettu turvemaa-alue on oltava pysyvästi nurmella.  Nurmikasvusto voidaan uusia suorakylvönä tai kevennetyllä muokkauksella niin, että uusi nurmikasvusto kylvetään välittömästi aiemman kasvuston muokkauksen jälkeen. Rajoituksen ulkopuolelle jätetään kullakin peruslohkolla lohkon muotoa parantavat pienet kulmien oikaisut yms.  Turvemaan määritelmä: Turvemaalla tarkoitetaan maata, jonka muokkauskerroksen orgaanisen aineksen pitoisuus on vähintään 40 %. Suomessa kosteikot eivät kuulu maatalousmaan alaan, joten ehdollisuuteen ei aseteta kosteikkoja koskevaa vaatimusta. 
</t>
  </si>
  <si>
    <t>GAEC 3 Sängen poltto Viljojen, öljykasvien, kuitukasvien, palkokasvien ja siemenmausteiden sänkeä ei saa polttaa.</t>
  </si>
  <si>
    <t>GAEC 4 Suojakaistat vesistöjen varrella Vesistöjen varrella sijaitsevilla maatalousmaan lohkoilla on oltava vesistöön rajoittuvalla lohkon rajalla muokkaamaton kasvipeitteinen vähintään 3 metrin suojakaista, jolla ei saa käyttää lannoitteita eikä kasvinsuojeluaineita HUOM Seuraava poistui EU-asetuksesta+ nitraattiasetuksen mukainen suojakaista koskien lannoitteiden ja lannan levitystä vesistöjen varren lohkoilla.</t>
  </si>
  <si>
    <t>GAEC 6 Maanmuokkauksen hallinta GAEC 4:n mukaiset suojakaistat vesistöjen varrella, joiden kaltevuus väh. 15 %, Åland väh. 10 %</t>
  </si>
  <si>
    <t xml:space="preserve">GAEC 9 Tuottamattomat alat Vähintään 4 ja enintään 10 % tilan peltoalasta seuraavassa käytössä:  * kesantoa, jolla ei saa harjoittaa maataloustuotantoa eikä käyttää kasvinsuojeluaineita kesantokaudella 1.1.-31.8.* GAEC 4:n mukaiset suojakaistat vesistöjen varrella. Huom. tästä poistettu tässä aiemmin ollut vaihtoehto "typensitojakasvien viljelystä, ilman kasvisuojeluaineiden käyttöä" </t>
  </si>
  <si>
    <t>GAEC 9 Maisemapiirteiden suojelu Suojellut puuryhmät ja yksittäiset puut ja luonnonmuistomerkit on säilytettävä.</t>
  </si>
  <si>
    <t>GAEC 9 Puiden leikkauskielto lintujen pesimäaikana Maatalousmaalla olevia suojeltuja puita ei saa kaataa eikä leikata 1.5-31.7.</t>
  </si>
  <si>
    <t>GAEC 10 Pysyvä nurmi Natura2000-alueilla Natura2000 -alueilla sijaitsevat pysyvät nurmet on säilytettävä eikä niitä saa kyntää</t>
  </si>
  <si>
    <t xml:space="preserve">Jäsenmaalle vapaaehtoinen GAEC Vuoden 2022 jälkeen maatalousmaaksi muusta käytöstä raivaamalla tai muilla keinoilla otettu kivennäismaa-alue on oltava pysyvästi nurmella. Nurmikasvusto voidaan uusia suorakylvönä tai kevennetyllä muokkauksella niin, että uusi nurmikasvusto kylvetään välittömästi aiemman kasvuston muokkauksen jälkeen. Rajoituksen ulkopuolelle jätetään kullakin peruslohkolla lohkon muotoa parantavat pienet kulmien oikaisut yms.   
</t>
  </si>
  <si>
    <t xml:space="preserve">SMR 3 Lintudirektiivi 2009/147/EY artikla 3(1), 3(2)(b) ja 4(1), 4(2) ja 4(4): Kansallinen toimeenpano: Maatalousmaalla sijaitsevan suojeltavien lintujen elinympäristöjen heikentämiskielto Natura2000-alueella, luonnonsuojelualueella ja muilla suojelupäätösten mukaisilla alueilla   </t>
  </si>
  <si>
    <t>SMR 4 Luontodirektiivi 92/43/ETY artikla 6(1) ja 6(2): Kansallinen toimeenpano: Maatalousmaalla sijaitsevien Natura2000-alueen luontotyyppien ja lajien heikentämiskielto sekä maatalousmaalla sijaitsevien luonnonsuojelualueiden heikentämiskielto</t>
  </si>
  <si>
    <t>SMR 12 Kasvinsuojeluaineasetus (EY) N:o 1107/2009 artikla 55 ensimmäinen ja toinen virke: Kansallinen toimeenpano:  Kasvinsuojeluaineiden säilytyksen ja käytön säännöt</t>
  </si>
  <si>
    <t xml:space="preserve">SMR 13 Torjunta-ainedirektiivi 2009/128/EY artikla 5(2), 8(1–5), 12 artikla torjunta-aineiden käyttöä vesipuitedirektiivin ja Natura 2000 -ohjelmaa koskevan lainsäädännön perusteella määritellyillä suojelualueilla koskevien rajoitusten osalta sekä artikla 13(1) ja 13(3) torjunta-aineiden käsittelyn ja varastoinnin sekä jäännösten hävittämisen osalta:  Torjunta-aineiden koulutusvaatimus + kasvinsuojeluaineiden levitysvälineiden testaus + torjunta-aineiden käytön ja varastoinnin vaatimukset 
 </t>
  </si>
  <si>
    <t xml:space="preserve">Luonnonhoitopeltonurmet Kyseisenä vuonna tai aiemmin kylvetty nurmikasvusto. Nurmi voidaan perustaa edellisenä vuonna suojaviljaan. Monilajiseksi kehittyneet luonnonvaraisia heiniä ja ruohovartisia kasveja sisältävät vanhat nurmikasvustot ovat hyväksyttäviä. Siemenseoksen painosta enintään 20 % voi olla typensitojakasvia. Ei saa käyttää lannoitteita eikä kasvinsuojeluaineita. Nurmi on säilytettävä 1.9. asti, jonka jälkeen kasvinsuojeluaineiden käyttö on sallittua.
</t>
  </si>
  <si>
    <t>Viherlannoitusnurmet Kyseisenä vuonna kylvetty tai edellisenä vuonna suojaviljaan perustettu nurmi. Siemenseoksessa on oltava vähintään kahta nurmikasvien lajia. Siemenseoksen painosta vähintään 20 % on oltava typensitojakasvia. Ei saa käyttää lannoitteita eikä kasvinsuojeluaineita. Nurmi on säilytettävä 1.9. asti, jonka jälkeen kasvinsuojeluaineiden käyttö on sallittua. Syysviljojen ja syysöljykasvien kylvö on kuitenkin sallittua toisen ja kolmannen vuoden viherlannoitusnurmilla 1.8. alkaen.</t>
  </si>
  <si>
    <t xml:space="preserve">Talviaikainen kasvipeite (sänki- ja kasvipeite) Sängellä tai kasveilla lokakuun lopusta seuraavan kevään kylvömuokkaukseen tai kylvöön asti säilytettävät seuraavat alat: 
• viljan, öljykasvien, kuitukasvien, palkokasvien ja siemenmausteiden sänki 
• monivuotiset viljellyt nurmet, talven yli säilytettävät yksivuotiset nurmet ja ruokohelpi, pois lukien luonnonlaitumet ja muut vastaavat alat;
• kumina
• monivuotiset puutarhakasvit, pois lukien pysyvät puutarhakasvit (kuten hedelmäpuut ja marjapensaat) • syysruis, ruisvehnä, syysvehnä, spelttivehnä ja muut syyskylvöiset viljat, syysrypsi, syysrapsi ja muut syyskylvöiset öljykasvit sekä muut syyskylvöiset kasvit
• keväällä korjattava pellava ja hamppu 
• kerääjäkasvit 
• ekojärjestelmän luonnonhoitopeltonurmet, viherlannoitusnurmet ja monimuotoisuuskasvit 
• sänki- ja viherkesannot </t>
  </si>
  <si>
    <t>Monimuotoisuuskasvit (Pölyttäjä-, maisema-, riista-, niitty- ja peltolintukasvit) Kyseisenä vuonna kylvetty kasvusto, syyskylvöiset kasvit voi kylvää edellisen vuoden syksyllä. Ei saa käyttää lannoitteita eikä kasvinsuojeluaineita. Kasvusto on säilytettävä 30.9. asti. Ei saa laiduntaa eikä korjata satoa paitsi riistakasvien sadon saa korjata, samoin mehiläisten tekemä sadonkorjuu on sallittu.</t>
  </si>
  <si>
    <t>OMINAISVAIKUTTAVUUS: Vähennetään KHK-päästöjä maataloussektorilla (t CO2 ekv./ha/v)</t>
  </si>
  <si>
    <t>KOKONAISVAIKUTTAVUUS: Vähennetään KHK-päästöjä maataloussektorilla (kt CO2 ekv./v)</t>
  </si>
  <si>
    <t>OMINAISVAIKUTTAVUUS: Vähennetään  KHK-päästöjä LULUCF-sektorilla (t CO2 ekv./ha/v)</t>
  </si>
  <si>
    <t>KOKONAISVAIKUTTAVUUS: Vähennetään  KHK-päästöjä LULUCF-sektorilla (kt CO2 ekv./v)</t>
  </si>
  <si>
    <t xml:space="preserve">Toimi </t>
  </si>
  <si>
    <t>Tukilaji</t>
  </si>
  <si>
    <t>negatiivinen on päästö</t>
  </si>
  <si>
    <t>x</t>
  </si>
  <si>
    <t>Monivuotiset ympäristönurmet</t>
  </si>
  <si>
    <t>Turvemaita raivattu 2015-2019 keskimäärin 1961 ha vuodessa, kiv. maita keskimäärin 1980 ha vuodessa. Pyöristetään molemmat 2000 hehtaariin. GAECilla yksivuotisten raivaus, osuus 40%, poistuu. Raivauksen vähenemä on siis 800 ha/vuosi turvemailla ja 800 ha/vuosi kivennäismailla. Lasketaan joka kauden vuodelle kumulatiivinen pinta-alaero ja sille päästöt. MMM:n näkemys: raivaus vähenee vielä enemmän -&gt; 900 ha/vuosi turvemailla ja 800 ha/vuosi kivennäismailla.</t>
  </si>
  <si>
    <t>maataloussektori kt CO2-ekv</t>
  </si>
  <si>
    <t>päästövähennys &amp; huuhtouma, kt CO2-ekv AGRI</t>
  </si>
  <si>
    <t>päästövähennys &amp; huuhtouma, t CO2-ekv/ha AGRI</t>
  </si>
  <si>
    <t>LULUCF kiv +huuhtouma</t>
  </si>
  <si>
    <t>Hehtaarit: viimeisin tilanne.</t>
  </si>
  <si>
    <t>kg NH4-N/ha</t>
  </si>
  <si>
    <t>Huuhtouma</t>
  </si>
  <si>
    <t>Haihtuma</t>
  </si>
  <si>
    <t>kg N2O/ha</t>
  </si>
  <si>
    <t>2006 IPCC GL</t>
  </si>
  <si>
    <r>
      <t xml:space="preserve">Emission factor (EF), </t>
    </r>
    <r>
      <rPr>
        <sz val="9"/>
        <rFont val="Arial"/>
        <family val="2"/>
      </rPr>
      <t>kg N</t>
    </r>
    <r>
      <rPr>
        <vertAlign val="subscript"/>
        <sz val="9"/>
        <rFont val="Arial"/>
        <family val="2"/>
      </rPr>
      <t>2</t>
    </r>
    <r>
      <rPr>
        <sz val="9"/>
        <rFont val="Arial"/>
        <family val="2"/>
      </rPr>
      <t>O-N / kg NH</t>
    </r>
    <r>
      <rPr>
        <vertAlign val="subscript"/>
        <sz val="9"/>
        <rFont val="Arial"/>
        <family val="2"/>
      </rPr>
      <t>4</t>
    </r>
    <r>
      <rPr>
        <sz val="9"/>
        <rFont val="Arial"/>
        <family val="2"/>
      </rPr>
      <t>-N &amp; NO</t>
    </r>
    <r>
      <rPr>
        <vertAlign val="subscript"/>
        <sz val="9"/>
        <rFont val="Arial"/>
        <family val="2"/>
      </rPr>
      <t>X</t>
    </r>
    <r>
      <rPr>
        <sz val="9"/>
        <rFont val="Arial"/>
        <family val="2"/>
      </rPr>
      <t>-N, sewage, manure, fertiliser</t>
    </r>
  </si>
  <si>
    <r>
      <t xml:space="preserve">Emission factor (EF), </t>
    </r>
    <r>
      <rPr>
        <sz val="9"/>
        <rFont val="Arial"/>
        <family val="2"/>
      </rPr>
      <t>kg N</t>
    </r>
    <r>
      <rPr>
        <vertAlign val="subscript"/>
        <sz val="9"/>
        <rFont val="Arial"/>
        <family val="2"/>
      </rPr>
      <t>2</t>
    </r>
    <r>
      <rPr>
        <sz val="9"/>
        <rFont val="Arial"/>
        <family val="2"/>
      </rPr>
      <t>O-N / kg N leached</t>
    </r>
  </si>
  <si>
    <t>44/28</t>
  </si>
  <si>
    <t>N2O-N -&gt; N2O</t>
  </si>
  <si>
    <t>kg N/ha</t>
  </si>
  <si>
    <t>Hehtaareita</t>
  </si>
  <si>
    <t>ha</t>
  </si>
  <si>
    <t>yhteensä per ha</t>
  </si>
  <si>
    <t>AR4 N2O</t>
  </si>
  <si>
    <t>Haihtuman vähennys</t>
  </si>
  <si>
    <t>Huuhtouman vähennys</t>
  </si>
  <si>
    <t>org</t>
  </si>
  <si>
    <t>min/org</t>
  </si>
  <si>
    <t>min</t>
  </si>
  <si>
    <t>freshwater and brackish ponds</t>
  </si>
  <si>
    <t>vesiensuojelu/monimuotoisuuskosteikko</t>
  </si>
  <si>
    <t>IPCC 2019 Refinement</t>
  </si>
  <si>
    <t>Table 7.12 (New) CH4 emission factors for other constructed water bodies (freshwater ponds, saline ponds, canals, drainage channels and ditches)</t>
  </si>
  <si>
    <t>canals and ditches</t>
  </si>
  <si>
    <t>95% conv min pros</t>
  </si>
  <si>
    <t>95% conv max pros</t>
  </si>
  <si>
    <t>ARVIO märkä kosteikko (riista-, vesiensuojelu ym.)</t>
  </si>
  <si>
    <t>kg CH4/ha/d (open water season)</t>
  </si>
  <si>
    <t>IPCC 2006 wetlands, used in national inventory</t>
  </si>
  <si>
    <t>land converted to flooded land</t>
  </si>
  <si>
    <t>IPCC 2006</t>
  </si>
  <si>
    <t>t CO2-ekv./ha/yr (assuming 180 days of open water)</t>
  </si>
  <si>
    <t>kts. Lietelannan sijoittaminen</t>
  </si>
  <si>
    <t>Valumavesien hallinta</t>
  </si>
  <si>
    <t>Tapio Salo / Luke 24.8.2021</t>
  </si>
  <si>
    <t>EF CO2-ekv. (AR4)</t>
  </si>
  <si>
    <t>LULUCF kiv + huuhtouma AR5</t>
  </si>
  <si>
    <t>AR5 päästövähennys CO-ekv/ha</t>
  </si>
  <si>
    <t>LULUCF org AR5</t>
  </si>
  <si>
    <r>
      <t>A</t>
    </r>
    <r>
      <rPr>
        <b/>
        <sz val="8"/>
        <color theme="1"/>
        <rFont val="Calibri"/>
        <family val="2"/>
        <scheme val="minor"/>
      </rPr>
      <t>R5 KOKONAISVAIKUTTAVUUS: Vähennetään  KHK-päästöjä LULUCF-sektorilla (kt CO2 ekv./v)</t>
    </r>
  </si>
  <si>
    <t>vuosittainen ala ilman toimea aiemmalla tukikaudella (ha)</t>
  </si>
  <si>
    <t xml:space="preserve">GAEC 7 Vähimmäismaanpeite Kesannot: Kesantojen on oltava pääsääntöisesti viher- tai sänkipeitteisiä 30.6.-31.8., poikkeusmahdollisuus avokesannoille ja syyskylvöisten kasvien kylvömahdollisuus. Talviaikainen maanpeite: Jos tilalla tehdään kasvukauden kasvuston syysmuokkausta, se voidaan tehdä pääosin ainoastaan kevennettynä muokkauksena niin, että enintään 45 % syysmuokattavasta peltoalasta voidaan muokata raskaammin kuin kevennetyllä muokkauksella. Kevennetyn muokkauksen myötä maatalousmaalle jäävä maanpeite on säilytettävä kevään kylvömuokkaukseen tai kylvöön asti. </t>
  </si>
  <si>
    <t>GAEC 8 Viljelykierto/viljelyn monipuolistaminen Jos viljelyn monipuolistaminen: Tilakoosta riippuen tilalla on viljeltävä vähintään kahta tai kolmea eri viljelykasvia ja pääkasvin osuus saa olla enintään 75 % peltoalasta. Jos tilalla on kolmen kasvin vaatimus (AB-alueen yli 30 ha:n tilat), kahden eniten viljellyn kasvin osuus saa olla enintään 90 %). HUOM. Seuraava viljelykierron vaatimus ei EU-asetuksen muutoksen vuoksi ole mahdollinen. Tämän vuoksi lausuntokierroksella on vain viljelyn monipuolistamisen vaatimus. Jos viljelykierron vaatimus: Viljojen, valkuaiskasvien, öljykasvien, perunan, sokerijuurikkaan tai yksivuotisten avomaan puutarhakasvien viljelyssä olevalla kasvulohkolla, jolta sama viljelijä hakee tukea kyseisenä vuonna ja kahtena? edeltävänä vuonna, on viljeltävä eri viljelykasvia yhtenä vuonna tarkasteltavan kolmen? vuoden jaksolla, ellei lohkolla ole tämän jakson aikana viljelty kerääjäkasvia tai muuta välikasvia yhtenä vuonna.</t>
  </si>
  <si>
    <t xml:space="preserve">SMR1 Vesipuitedirektiivi 2000/60/EY artikla 11(3)(e) ja (h) alakohta fosfaattien aiheuttaman hajakuormituksen hallintaa koskevien pakollisten vaatimusten osalta: Kansallinen toimeenpano: Pinta- tai pohjavedenotto vesilain mukaisesti kasteluun + ympäristösuojelulain mukaiset pohjaveden suojelua koskevat vaatimukset + fosforilannoituksen enimmäistaso + fosfaattien osalta eläinsuojien ympäristöluvan ja ilmoituspäätöksen olemassaolo </t>
  </si>
  <si>
    <t>SMR 2 Nitraattidirektiivi 91/676/ETY 4 ja 5 artikla: Kansallinen toimeenpano: GAEC 4:n mukaiset nitraattiasetuksen mukaiset kaistat + typpilannoituksen enimmäismäärä + lannan varastointia ja käyttöä koskevat säännöt</t>
  </si>
  <si>
    <t>Hei</t>
  </si>
  <si>
    <t xml:space="preserve">Tämä Excel-taulukko sisältää Suomen CAP-suunnitelmaluonnoksen ympäristövakuttavuuden kasvihuonekaasupäästöjen laskennassa käytetyt muuttujat.
</t>
  </si>
  <si>
    <t>31.8.2021 MMM &amp; Luke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</si>
</sst>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00000000"/>
    <numFmt numFmtId="168" formatCode="0.000000000"/>
  </numFmts>
  <fonts count="37"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12"/>
      <name val="Times New Roman"/>
      <family val="1"/>
    </font>
    <font>
      <sz val="10"/>
      <name val="Arial"/>
      <family val="2"/>
    </font>
    <font>
      <sz val="9"/>
      <name val="Times New Roman"/>
      <family val="1"/>
    </font>
    <font>
      <sz val="9"/>
      <color indexed="8"/>
      <name val="Times New Roman"/>
      <family val="1"/>
    </font>
    <font>
      <sz val="10"/>
      <name val="Times New Roman"/>
      <family val="1"/>
    </font>
    <font>
      <b/>
      <sz val="9"/>
      <name val="Times New Roman"/>
      <family val="1"/>
    </font>
    <font>
      <b/>
      <vertAlign val="subscript"/>
      <sz val="9"/>
      <name val="Times New Roman"/>
      <family val="1"/>
    </font>
    <font>
      <b/>
      <vertAlign val="superscript"/>
      <sz val="9"/>
      <name val="Times New Roman"/>
      <family val="1"/>
    </font>
    <font>
      <sz val="11"/>
      <color indexed="8"/>
      <name val="Calibri"/>
      <family val="2"/>
    </font>
    <font>
      <vertAlign val="superscript"/>
      <sz val="9"/>
      <name val="Times New Roman"/>
      <family val="1"/>
    </font>
    <font>
      <sz val="9"/>
      <color theme="0"/>
      <name val="Times New Roman"/>
      <family val="1"/>
    </font>
    <font>
      <b/>
      <vertAlign val="subscript"/>
      <sz val="12"/>
      <name val="Times New Roman"/>
      <family val="1"/>
    </font>
    <font>
      <sz val="12"/>
      <name val="Times New Roman"/>
      <family val="1"/>
    </font>
    <font>
      <vertAlign val="subscript"/>
      <sz val="9"/>
      <name val="Times New Roman"/>
      <family val="1"/>
    </font>
    <font>
      <i/>
      <sz val="9"/>
      <name val="Times New Roman"/>
      <family val="1"/>
    </font>
    <font>
      <sz val="11"/>
      <color rgb="FF9C0006"/>
      <name val="Calibri"/>
      <family val="2"/>
      <scheme val="minor"/>
    </font>
    <font>
      <b/>
      <sz val="9"/>
      <color indexed="81"/>
      <name val="Tahoma"/>
      <family val="2"/>
    </font>
    <font>
      <sz val="9"/>
      <color indexed="81"/>
      <name val="Tahoma"/>
      <family val="2"/>
    </font>
    <font>
      <sz val="10"/>
      <color indexed="10"/>
      <name val="Arial"/>
      <family val="2"/>
    </font>
    <font>
      <sz val="9"/>
      <color indexed="10"/>
      <name val="Arial"/>
      <family val="2"/>
    </font>
    <font>
      <vertAlign val="subscript"/>
      <sz val="9"/>
      <color indexed="10"/>
      <name val="Arial"/>
      <family val="2"/>
    </font>
    <font>
      <b/>
      <vertAlign val="superscript"/>
      <sz val="10"/>
      <name val="Times New Roman"/>
      <family val="1"/>
    </font>
    <font>
      <sz val="9"/>
      <name val="Times New Roman"/>
      <family val="1"/>
    </font>
    <font>
      <b/>
      <vertAlign val="superscript"/>
      <sz val="12"/>
      <name val="Times New Roman"/>
      <family val="1"/>
    </font>
    <font>
      <b/>
      <sz val="9"/>
      <color indexed="8"/>
      <name val="Times New Roman"/>
      <family val="1"/>
    </font>
    <font>
      <sz val="9"/>
      <name val="Times New Roman"/>
      <family val="1"/>
      <charset val="204"/>
    </font>
    <font>
      <b/>
      <i/>
      <sz val="9"/>
      <name val="Times New Roman"/>
      <family val="1"/>
    </font>
    <font>
      <sz val="10"/>
      <color theme="1"/>
      <name val="Calibri"/>
      <family val="2"/>
      <scheme val="minor"/>
    </font>
    <font>
      <sz val="9"/>
      <name val="Arial"/>
      <family val="2"/>
    </font>
    <font>
      <vertAlign val="subscript"/>
      <sz val="9"/>
      <name val="Arial"/>
      <family val="2"/>
    </font>
    <font>
      <sz val="8"/>
      <name val="Calibri"/>
      <family val="2"/>
      <scheme val="minor"/>
    </font>
    <font>
      <sz val="9"/>
      <color theme="1"/>
      <name val="Calibri"/>
      <family val="2"/>
      <scheme val="minor"/>
    </font>
    <font>
      <b/>
      <sz val="8"/>
      <color theme="1"/>
      <name val="Calibri"/>
      <family val="2"/>
      <scheme val="minor"/>
    </font>
  </fonts>
  <fills count="14">
    <fill>
      <patternFill patternType="none"/>
    </fill>
    <fill>
      <patternFill patternType="gray125"/>
    </fill>
    <fill>
      <patternFill patternType="solid">
        <fgColor rgb="FFFFCC99"/>
      </patternFill>
    </fill>
    <fill>
      <patternFill patternType="solid">
        <fgColor indexed="9"/>
        <bgColor indexed="64"/>
      </patternFill>
    </fill>
    <fill>
      <patternFill patternType="solid">
        <fgColor indexed="47"/>
        <bgColor indexed="64"/>
      </patternFill>
    </fill>
    <fill>
      <patternFill patternType="solid">
        <fgColor rgb="FF969696"/>
      </patternFill>
    </fill>
    <fill>
      <patternFill patternType="solid">
        <fgColor rgb="FFFFFFFF"/>
      </patternFill>
    </fill>
    <fill>
      <patternFill patternType="solid">
        <fgColor indexed="55"/>
        <bgColor indexed="64"/>
      </patternFill>
    </fill>
    <fill>
      <patternFill patternType="solid">
        <fgColor rgb="FFFFC7CE"/>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medium">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style="medium">
        <color indexed="64"/>
      </left>
      <right/>
      <top/>
      <bottom/>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s>
  <cellStyleXfs count="18">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xf numFmtId="0" fontId="7" fillId="0" borderId="0" applyNumberFormat="0">
      <alignment horizontal="right"/>
    </xf>
    <xf numFmtId="0" fontId="8" fillId="0" borderId="0"/>
    <xf numFmtId="0" fontId="12" fillId="0" borderId="0"/>
    <xf numFmtId="0" fontId="5" fillId="0" borderId="22"/>
    <xf numFmtId="0" fontId="6" fillId="0" borderId="0"/>
    <xf numFmtId="4" fontId="6" fillId="0" borderId="0"/>
    <xf numFmtId="0" fontId="19" fillId="8" borderId="0" applyNumberFormat="0" applyBorder="0" applyAlignment="0" applyProtection="0"/>
    <xf numFmtId="0" fontId="5" fillId="0" borderId="26"/>
    <xf numFmtId="4" fontId="5" fillId="0" borderId="0"/>
    <xf numFmtId="4" fontId="5" fillId="0" borderId="0"/>
    <xf numFmtId="4" fontId="5" fillId="4" borderId="13"/>
    <xf numFmtId="0" fontId="28" fillId="4" borderId="28">
      <alignment horizontal="right" vertical="center"/>
    </xf>
    <xf numFmtId="0" fontId="7" fillId="4" borderId="29">
      <alignment horizontal="right" vertical="center"/>
    </xf>
    <xf numFmtId="0" fontId="7" fillId="4" borderId="29">
      <alignment horizontal="left" vertical="center"/>
    </xf>
  </cellStyleXfs>
  <cellXfs count="318">
    <xf numFmtId="0" fontId="0" fillId="0" borderId="0" xfId="0"/>
    <xf numFmtId="1" fontId="0" fillId="0" borderId="0" xfId="0" applyNumberFormat="1"/>
    <xf numFmtId="3" fontId="0" fillId="0" borderId="0" xfId="0" applyNumberFormat="1"/>
    <xf numFmtId="0" fontId="1" fillId="0" borderId="0" xfId="0" applyFont="1" applyAlignment="1">
      <alignment vertical="top" wrapText="1"/>
    </xf>
    <xf numFmtId="0" fontId="3" fillId="0" borderId="0" xfId="0" applyFont="1"/>
    <xf numFmtId="164" fontId="0" fillId="0" borderId="0" xfId="0" applyNumberFormat="1"/>
    <xf numFmtId="2" fontId="0" fillId="0" borderId="0" xfId="0" applyNumberFormat="1"/>
    <xf numFmtId="165" fontId="0" fillId="0" borderId="0" xfId="0" applyNumberFormat="1"/>
    <xf numFmtId="0" fontId="4" fillId="3" borderId="0" xfId="2" applyFill="1" applyAlignment="1"/>
    <xf numFmtId="0" fontId="6" fillId="3" borderId="0" xfId="3" applyFont="1" applyFill="1"/>
    <xf numFmtId="0" fontId="6" fillId="3" borderId="0" xfId="4" applyFont="1" applyFill="1">
      <alignment horizontal="right"/>
    </xf>
    <xf numFmtId="0" fontId="6" fillId="0" borderId="0" xfId="3" applyFont="1"/>
    <xf numFmtId="0" fontId="6" fillId="3" borderId="0" xfId="5" applyFont="1" applyFill="1" applyAlignment="1">
      <alignment horizontal="center" vertical="center"/>
    </xf>
    <xf numFmtId="0" fontId="6" fillId="3" borderId="0" xfId="5" applyFont="1" applyFill="1" applyAlignment="1">
      <alignment horizontal="center" vertical="center" wrapText="1"/>
    </xf>
    <xf numFmtId="9" fontId="6" fillId="3" borderId="0" xfId="1" applyFont="1" applyFill="1" applyAlignment="1">
      <alignment horizontal="center" vertical="center" wrapText="1"/>
    </xf>
    <xf numFmtId="0" fontId="6" fillId="3" borderId="0" xfId="5" applyFont="1" applyFill="1" applyAlignment="1">
      <alignment horizontal="left" vertical="center" wrapText="1"/>
    </xf>
    <xf numFmtId="0" fontId="9" fillId="4" borderId="13" xfId="5" applyFont="1" applyFill="1" applyBorder="1" applyAlignment="1">
      <alignment horizontal="center" vertical="center" wrapText="1"/>
    </xf>
    <xf numFmtId="0" fontId="9" fillId="4" borderId="10" xfId="5" applyFont="1" applyFill="1" applyBorder="1" applyAlignment="1">
      <alignment horizontal="center" vertical="center" wrapText="1"/>
    </xf>
    <xf numFmtId="0" fontId="9" fillId="4" borderId="14" xfId="5" applyFont="1" applyFill="1" applyBorder="1" applyAlignment="1">
      <alignment horizontal="center" vertical="center" wrapText="1"/>
    </xf>
    <xf numFmtId="0" fontId="9" fillId="4" borderId="20" xfId="6" applyFont="1" applyFill="1" applyBorder="1" applyAlignment="1">
      <alignment horizontal="center" vertical="center"/>
    </xf>
    <xf numFmtId="0" fontId="9" fillId="4" borderId="21" xfId="5" applyFont="1" applyFill="1" applyBorder="1" applyAlignment="1">
      <alignment horizontal="left" vertical="center"/>
    </xf>
    <xf numFmtId="2" fontId="6" fillId="5" borderId="13" xfId="0" applyNumberFormat="1" applyFont="1" applyFill="1" applyBorder="1" applyAlignment="1">
      <alignment horizontal="right"/>
    </xf>
    <xf numFmtId="2" fontId="6" fillId="2" borderId="13" xfId="0" applyNumberFormat="1" applyFont="1" applyFill="1" applyBorder="1" applyAlignment="1">
      <alignment horizontal="right"/>
    </xf>
    <xf numFmtId="0" fontId="6" fillId="4" borderId="1" xfId="5" applyFont="1" applyFill="1" applyBorder="1" applyAlignment="1">
      <alignment horizontal="left" vertical="top" wrapText="1"/>
    </xf>
    <xf numFmtId="0" fontId="6" fillId="6" borderId="13" xfId="0" applyFont="1" applyFill="1" applyBorder="1" applyAlignment="1">
      <alignment horizontal="left" indent="2"/>
    </xf>
    <xf numFmtId="2" fontId="6" fillId="6" borderId="13" xfId="0" applyNumberFormat="1" applyFont="1" applyFill="1" applyBorder="1" applyAlignment="1">
      <alignment horizontal="right"/>
    </xf>
    <xf numFmtId="0" fontId="6" fillId="4" borderId="1" xfId="5" applyFont="1" applyFill="1" applyBorder="1" applyAlignment="1">
      <alignment horizontal="left" vertical="top"/>
    </xf>
    <xf numFmtId="0" fontId="6" fillId="4" borderId="13" xfId="5" applyFont="1" applyFill="1" applyBorder="1" applyAlignment="1">
      <alignment horizontal="left" vertical="top" wrapText="1"/>
    </xf>
    <xf numFmtId="0" fontId="6" fillId="4" borderId="6" xfId="5" applyFont="1" applyFill="1" applyBorder="1" applyAlignment="1">
      <alignment horizontal="left" vertical="top" wrapText="1"/>
    </xf>
    <xf numFmtId="0" fontId="14" fillId="3" borderId="0" xfId="7" applyFont="1" applyFill="1" applyBorder="1"/>
    <xf numFmtId="0" fontId="6" fillId="3" borderId="0" xfId="7" applyFont="1" applyFill="1" applyBorder="1"/>
    <xf numFmtId="0" fontId="6" fillId="3" borderId="0" xfId="3" applyFont="1" applyFill="1" applyAlignment="1">
      <alignment wrapText="1"/>
    </xf>
    <xf numFmtId="0" fontId="9" fillId="4" borderId="6" xfId="5" applyFont="1" applyFill="1" applyBorder="1" applyAlignment="1">
      <alignment horizontal="left" vertical="center" wrapText="1"/>
    </xf>
    <xf numFmtId="0" fontId="6" fillId="4" borderId="7" xfId="5" applyFont="1" applyFill="1" applyBorder="1" applyAlignment="1">
      <alignment horizontal="center" vertical="center" wrapText="1"/>
    </xf>
    <xf numFmtId="0" fontId="6" fillId="4" borderId="5" xfId="5" applyFont="1" applyFill="1" applyBorder="1" applyAlignment="1">
      <alignment horizontal="center" vertical="center" wrapText="1"/>
    </xf>
    <xf numFmtId="0" fontId="6" fillId="3" borderId="13" xfId="5" applyFont="1" applyFill="1" applyBorder="1" applyAlignment="1">
      <alignment horizontal="left" vertical="center" wrapText="1"/>
    </xf>
    <xf numFmtId="0" fontId="4" fillId="3" borderId="0" xfId="2" applyFill="1" applyAlignment="1">
      <alignment vertical="center"/>
    </xf>
    <xf numFmtId="0" fontId="16" fillId="3" borderId="0" xfId="3" applyFont="1" applyFill="1"/>
    <xf numFmtId="0" fontId="9" fillId="4" borderId="4" xfId="8" applyFont="1" applyFill="1" applyBorder="1" applyAlignment="1">
      <alignment horizontal="left" vertical="center" wrapText="1"/>
    </xf>
    <xf numFmtId="0" fontId="9" fillId="4" borderId="4" xfId="8" applyFont="1" applyFill="1" applyBorder="1" applyAlignment="1">
      <alignment horizontal="center" vertical="center" wrapText="1"/>
    </xf>
    <xf numFmtId="0" fontId="9" fillId="4" borderId="5" xfId="8" applyFont="1" applyFill="1" applyBorder="1" applyAlignment="1">
      <alignment horizontal="center" vertical="center"/>
    </xf>
    <xf numFmtId="0" fontId="9" fillId="4" borderId="8" xfId="8" applyFont="1" applyFill="1" applyBorder="1" applyAlignment="1">
      <alignment horizontal="left" vertical="center"/>
    </xf>
    <xf numFmtId="0" fontId="9" fillId="4" borderId="8" xfId="8" applyFont="1" applyFill="1" applyBorder="1" applyAlignment="1">
      <alignment horizontal="center" vertical="center" wrapText="1"/>
    </xf>
    <xf numFmtId="0" fontId="9" fillId="4" borderId="9" xfId="8" applyFont="1" applyFill="1" applyBorder="1" applyAlignment="1">
      <alignment horizontal="center" vertical="center"/>
    </xf>
    <xf numFmtId="0" fontId="9" fillId="4" borderId="15" xfId="8" applyFont="1" applyFill="1" applyBorder="1" applyAlignment="1">
      <alignment horizontal="left" vertical="center"/>
    </xf>
    <xf numFmtId="0" fontId="9" fillId="4" borderId="23" xfId="8" applyFont="1" applyFill="1" applyBorder="1" applyAlignment="1">
      <alignment horizontal="center" vertical="center" wrapText="1"/>
    </xf>
    <xf numFmtId="0" fontId="9" fillId="4" borderId="15" xfId="8" applyFont="1" applyFill="1" applyBorder="1" applyAlignment="1">
      <alignment horizontal="center" vertical="center" wrapText="1"/>
    </xf>
    <xf numFmtId="0" fontId="9" fillId="4" borderId="16" xfId="8" applyFont="1" applyFill="1" applyBorder="1" applyAlignment="1">
      <alignment horizontal="center" vertical="center"/>
    </xf>
    <xf numFmtId="0" fontId="9" fillId="4" borderId="24" xfId="8" applyFont="1" applyFill="1" applyBorder="1" applyAlignment="1">
      <alignment horizontal="left" vertical="center" wrapText="1"/>
    </xf>
    <xf numFmtId="0" fontId="6" fillId="4" borderId="13" xfId="8" applyFill="1" applyBorder="1" applyAlignment="1">
      <alignment horizontal="left" vertical="center" wrapText="1"/>
    </xf>
    <xf numFmtId="0" fontId="6" fillId="4" borderId="14" xfId="8" applyFill="1" applyBorder="1" applyAlignment="1">
      <alignment horizontal="left" vertical="center" wrapText="1"/>
    </xf>
    <xf numFmtId="0" fontId="9" fillId="4" borderId="8" xfId="8" applyFont="1" applyFill="1" applyBorder="1" applyAlignment="1">
      <alignment horizontal="left" vertical="center" wrapText="1"/>
    </xf>
    <xf numFmtId="0" fontId="6" fillId="4" borderId="13" xfId="8" applyFill="1" applyBorder="1" applyAlignment="1">
      <alignment horizontal="left" vertical="center"/>
    </xf>
    <xf numFmtId="0" fontId="13" fillId="3" borderId="0" xfId="3" applyFont="1" applyFill="1" applyAlignment="1">
      <alignment horizontal="left" wrapText="1"/>
    </xf>
    <xf numFmtId="4" fontId="9" fillId="3" borderId="0" xfId="9" applyFont="1" applyFill="1" applyAlignment="1">
      <alignment vertical="center"/>
    </xf>
    <xf numFmtId="4" fontId="9" fillId="4" borderId="13" xfId="9" applyFont="1" applyFill="1" applyBorder="1" applyAlignment="1">
      <alignment horizontal="center" vertical="center" wrapText="1"/>
    </xf>
    <xf numFmtId="4" fontId="9" fillId="4" borderId="13" xfId="9" applyFont="1" applyFill="1" applyBorder="1" applyAlignment="1">
      <alignment horizontal="center" vertical="center"/>
    </xf>
    <xf numFmtId="4" fontId="6" fillId="4" borderId="13" xfId="9" applyFill="1" applyBorder="1" applyAlignment="1">
      <alignment horizontal="left" vertical="center" wrapText="1"/>
    </xf>
    <xf numFmtId="4" fontId="6" fillId="4" borderId="13" xfId="9" applyFill="1" applyBorder="1" applyAlignment="1">
      <alignment vertical="center" wrapText="1"/>
    </xf>
    <xf numFmtId="0" fontId="6" fillId="7" borderId="12" xfId="8" applyFill="1" applyBorder="1" applyAlignment="1" applyProtection="1">
      <alignment horizontal="right" vertical="center" wrapText="1"/>
      <protection locked="0"/>
    </xf>
    <xf numFmtId="0" fontId="13" fillId="3" borderId="0" xfId="3" applyFont="1" applyFill="1" applyAlignment="1">
      <alignment horizontal="left" vertical="center"/>
    </xf>
    <xf numFmtId="0" fontId="13" fillId="3" borderId="0" xfId="3" applyFont="1" applyFill="1" applyAlignment="1">
      <alignment horizontal="left" vertical="center" wrapText="1"/>
    </xf>
    <xf numFmtId="0" fontId="6" fillId="4" borderId="25" xfId="3" applyFont="1" applyFill="1" applyBorder="1"/>
    <xf numFmtId="0" fontId="6" fillId="4" borderId="0" xfId="3" applyFont="1" applyFill="1"/>
    <xf numFmtId="0" fontId="6" fillId="4" borderId="9" xfId="3" applyFont="1" applyFill="1" applyBorder="1"/>
    <xf numFmtId="0" fontId="6" fillId="4" borderId="10" xfId="3" applyFont="1" applyFill="1" applyBorder="1"/>
    <xf numFmtId="0" fontId="6" fillId="4" borderId="11" xfId="3" applyFont="1" applyFill="1" applyBorder="1"/>
    <xf numFmtId="0" fontId="6" fillId="4" borderId="12" xfId="3" applyFont="1" applyFill="1" applyBorder="1"/>
    <xf numFmtId="0" fontId="6" fillId="3" borderId="13" xfId="3" applyFont="1" applyFill="1" applyBorder="1" applyAlignment="1">
      <alignment horizontal="left" vertical="center"/>
    </xf>
    <xf numFmtId="166" fontId="0" fillId="0" borderId="0" xfId="0" applyNumberFormat="1"/>
    <xf numFmtId="9" fontId="0" fillId="0" borderId="0" xfId="1" applyFont="1"/>
    <xf numFmtId="0" fontId="0" fillId="0" borderId="11" xfId="0" applyBorder="1"/>
    <xf numFmtId="0" fontId="0" fillId="0" borderId="0" xfId="0" applyFill="1"/>
    <xf numFmtId="0" fontId="0" fillId="0" borderId="0" xfId="0" applyAlignment="1">
      <alignment horizontal="center"/>
    </xf>
    <xf numFmtId="0" fontId="1" fillId="9" borderId="0" xfId="0" applyFont="1" applyFill="1" applyAlignment="1">
      <alignment vertical="top" wrapText="1"/>
    </xf>
    <xf numFmtId="1" fontId="6" fillId="3" borderId="0" xfId="5" applyNumberFormat="1" applyFont="1" applyFill="1" applyAlignment="1">
      <alignment horizontal="left" vertical="center" wrapText="1"/>
    </xf>
    <xf numFmtId="2" fontId="6" fillId="6" borderId="13" xfId="0" applyNumberFormat="1" applyFont="1" applyFill="1" applyBorder="1" applyAlignment="1">
      <alignment horizontal="right"/>
    </xf>
    <xf numFmtId="0" fontId="6" fillId="3" borderId="13" xfId="5" applyFont="1" applyFill="1" applyBorder="1" applyAlignment="1">
      <alignment horizontal="left" vertical="center" wrapText="1"/>
    </xf>
    <xf numFmtId="0" fontId="9" fillId="4" borderId="5" xfId="5" applyFont="1" applyFill="1" applyBorder="1" applyAlignment="1">
      <alignment horizontal="center" vertical="center" wrapText="1"/>
    </xf>
    <xf numFmtId="0" fontId="9" fillId="4" borderId="10" xfId="5" applyFont="1" applyFill="1" applyBorder="1" applyAlignment="1">
      <alignment horizontal="center" vertical="center" wrapText="1"/>
    </xf>
    <xf numFmtId="0" fontId="9" fillId="4" borderId="4" xfId="5" applyFont="1" applyFill="1" applyBorder="1" applyAlignment="1">
      <alignment horizontal="center" vertical="center" wrapText="1"/>
    </xf>
    <xf numFmtId="0" fontId="9" fillId="4" borderId="14" xfId="5" applyFont="1" applyFill="1" applyBorder="1" applyAlignment="1">
      <alignment horizontal="center" vertical="center" wrapText="1"/>
    </xf>
    <xf numFmtId="0" fontId="9" fillId="4" borderId="8" xfId="5" applyFont="1" applyFill="1" applyBorder="1" applyAlignment="1">
      <alignment horizontal="left" vertical="center" wrapText="1"/>
    </xf>
    <xf numFmtId="0" fontId="9" fillId="4" borderId="15" xfId="5" applyFont="1" applyFill="1" applyBorder="1" applyAlignment="1">
      <alignment horizontal="center" vertical="center" wrapText="1"/>
    </xf>
    <xf numFmtId="0" fontId="0" fillId="10" borderId="0" xfId="0" applyFill="1"/>
    <xf numFmtId="0" fontId="22" fillId="0" borderId="0" xfId="0" applyFont="1" applyAlignment="1">
      <alignment horizontal="left"/>
    </xf>
    <xf numFmtId="0" fontId="22" fillId="0" borderId="0" xfId="0" applyFont="1" applyAlignment="1">
      <alignment horizontal="center"/>
    </xf>
    <xf numFmtId="0" fontId="0" fillId="0" borderId="0" xfId="0" applyFont="1"/>
    <xf numFmtId="0" fontId="6" fillId="3" borderId="0" xfId="11" applyFont="1" applyFill="1" applyBorder="1"/>
    <xf numFmtId="0" fontId="14" fillId="3" borderId="0" xfId="5" applyFont="1" applyFill="1" applyAlignment="1">
      <alignment horizontal="center" vertical="center" wrapText="1"/>
    </xf>
    <xf numFmtId="0" fontId="9" fillId="4" borderId="7" xfId="5" applyFont="1" applyFill="1" applyBorder="1" applyAlignment="1">
      <alignment horizontal="left" vertical="center" wrapText="1"/>
    </xf>
    <xf numFmtId="167" fontId="0" fillId="0" borderId="0" xfId="0" applyNumberFormat="1"/>
    <xf numFmtId="168" fontId="0" fillId="0" borderId="0" xfId="0" applyNumberFormat="1"/>
    <xf numFmtId="4" fontId="4" fillId="3" borderId="0" xfId="12" applyFont="1" applyFill="1"/>
    <xf numFmtId="4" fontId="4" fillId="3" borderId="0" xfId="13" applyFont="1" applyFill="1" applyAlignment="1">
      <alignment vertical="center"/>
    </xf>
    <xf numFmtId="4" fontId="16" fillId="3" borderId="0" xfId="12" applyFont="1" applyFill="1"/>
    <xf numFmtId="4" fontId="6" fillId="3" borderId="0" xfId="12" applyFont="1" applyFill="1"/>
    <xf numFmtId="4" fontId="6" fillId="3" borderId="0" xfId="12" applyFont="1" applyFill="1" applyAlignment="1">
      <alignment vertical="top"/>
    </xf>
    <xf numFmtId="4" fontId="9" fillId="4" borderId="27" xfId="14" applyFont="1" applyBorder="1" applyAlignment="1">
      <alignment horizontal="right" vertical="top" wrapText="1"/>
    </xf>
    <xf numFmtId="4" fontId="6" fillId="4" borderId="2" xfId="12" applyFont="1" applyFill="1" applyBorder="1" applyAlignment="1">
      <alignment horizontal="center" vertical="center" textRotation="90" wrapText="1"/>
    </xf>
    <xf numFmtId="4" fontId="6" fillId="4" borderId="13" xfId="12" applyFont="1" applyFill="1" applyBorder="1" applyAlignment="1">
      <alignment horizontal="center" vertical="center" textRotation="90" wrapText="1"/>
    </xf>
    <xf numFmtId="4" fontId="9" fillId="4" borderId="13" xfId="12" applyFont="1" applyFill="1" applyBorder="1" applyAlignment="1">
      <alignment horizontal="center" vertical="center" textRotation="90" wrapText="1"/>
    </xf>
    <xf numFmtId="4" fontId="9" fillId="4" borderId="20" xfId="14" applyFont="1" applyBorder="1" applyAlignment="1">
      <alignment horizontal="left"/>
    </xf>
    <xf numFmtId="4" fontId="6" fillId="4" borderId="14" xfId="12" applyFont="1" applyFill="1" applyBorder="1" applyAlignment="1">
      <alignment horizontal="left" wrapText="1" indent="2"/>
    </xf>
    <xf numFmtId="2" fontId="26" fillId="6" borderId="13" xfId="0" applyNumberFormat="1" applyFont="1" applyFill="1" applyBorder="1" applyAlignment="1">
      <alignment horizontal="right"/>
    </xf>
    <xf numFmtId="2" fontId="26" fillId="2" borderId="13" xfId="0" applyNumberFormat="1" applyFont="1" applyFill="1" applyBorder="1" applyAlignment="1">
      <alignment horizontal="right"/>
    </xf>
    <xf numFmtId="4" fontId="6" fillId="4" borderId="13" xfId="12" applyFont="1" applyFill="1" applyBorder="1" applyAlignment="1">
      <alignment horizontal="left" wrapText="1" indent="2"/>
    </xf>
    <xf numFmtId="4" fontId="9" fillId="4" borderId="13" xfId="12" applyFont="1" applyFill="1" applyBorder="1" applyAlignment="1">
      <alignment horizontal="left" wrapText="1" indent="2"/>
    </xf>
    <xf numFmtId="0" fontId="4" fillId="3" borderId="0" xfId="2" applyFill="1" applyAlignment="1">
      <alignment vertical="top"/>
    </xf>
    <xf numFmtId="0" fontId="4" fillId="3" borderId="0" xfId="2" applyFill="1" applyAlignment="1">
      <alignment vertical="center" wrapText="1"/>
    </xf>
    <xf numFmtId="0" fontId="6" fillId="3" borderId="0" xfId="4" applyFont="1" applyFill="1" applyAlignment="1">
      <alignment horizontal="right" vertical="top"/>
    </xf>
    <xf numFmtId="0" fontId="4" fillId="3" borderId="0" xfId="2" applyFill="1" applyBorder="1" applyAlignment="1"/>
    <xf numFmtId="0" fontId="9" fillId="4" borderId="16" xfId="6" applyFont="1" applyFill="1" applyBorder="1" applyAlignment="1">
      <alignment horizontal="center" vertical="center"/>
    </xf>
    <xf numFmtId="0" fontId="9" fillId="4" borderId="14" xfId="15" applyFont="1" applyBorder="1" applyAlignment="1">
      <alignment horizontal="left" vertical="center"/>
    </xf>
    <xf numFmtId="0" fontId="9" fillId="4" borderId="13" xfId="15" applyFont="1" applyBorder="1" applyAlignment="1">
      <alignment horizontal="left" vertical="center" indent="1"/>
    </xf>
    <xf numFmtId="0" fontId="6" fillId="4" borderId="13" xfId="15" applyFont="1" applyBorder="1" applyAlignment="1">
      <alignment horizontal="left" vertical="center" indent="2"/>
    </xf>
    <xf numFmtId="0" fontId="26" fillId="2" borderId="13" xfId="0" applyFont="1" applyFill="1" applyBorder="1" applyAlignment="1">
      <alignment horizontal="left" indent="6"/>
    </xf>
    <xf numFmtId="0" fontId="9" fillId="4" borderId="13" xfId="5" applyFont="1" applyFill="1" applyBorder="1" applyAlignment="1">
      <alignment horizontal="left" vertical="top" wrapText="1" indent="1"/>
    </xf>
    <xf numFmtId="0" fontId="14" fillId="3" borderId="0" xfId="5" applyFont="1" applyFill="1" applyAlignment="1">
      <alignment horizontal="left" vertical="top" wrapText="1"/>
    </xf>
    <xf numFmtId="0" fontId="6" fillId="3" borderId="0" xfId="16" applyFont="1" applyFill="1" applyBorder="1">
      <alignment horizontal="right" vertical="center"/>
    </xf>
    <xf numFmtId="0" fontId="6" fillId="3" borderId="0" xfId="5" applyFont="1" applyFill="1" applyAlignment="1">
      <alignment horizontal="left"/>
    </xf>
    <xf numFmtId="0" fontId="9" fillId="4" borderId="6" xfId="5" applyFont="1" applyFill="1" applyBorder="1" applyAlignment="1">
      <alignment horizontal="left" vertical="top"/>
    </xf>
    <xf numFmtId="0" fontId="6" fillId="4" borderId="7" xfId="5" applyFont="1" applyFill="1" applyBorder="1" applyAlignment="1">
      <alignment horizontal="left" vertical="top"/>
    </xf>
    <xf numFmtId="0" fontId="6" fillId="4" borderId="5" xfId="5" applyFont="1" applyFill="1" applyBorder="1" applyAlignment="1">
      <alignment horizontal="left" vertical="top"/>
    </xf>
    <xf numFmtId="0" fontId="6" fillId="3" borderId="0" xfId="3" applyFont="1" applyFill="1" applyAlignment="1">
      <alignment horizontal="left" vertical="center" wrapText="1"/>
    </xf>
    <xf numFmtId="0" fontId="6" fillId="3" borderId="0" xfId="0" applyFont="1" applyFill="1"/>
    <xf numFmtId="0" fontId="6" fillId="0" borderId="0" xfId="0" applyFont="1"/>
    <xf numFmtId="0" fontId="9" fillId="3" borderId="0" xfId="2" applyFont="1" applyFill="1" applyAlignment="1">
      <alignment horizontal="left"/>
    </xf>
    <xf numFmtId="0" fontId="9" fillId="4" borderId="13" xfId="5" applyFont="1" applyFill="1" applyBorder="1" applyAlignment="1">
      <alignment horizontal="left" vertical="center"/>
    </xf>
    <xf numFmtId="0" fontId="9" fillId="4" borderId="6" xfId="5" applyFont="1" applyFill="1" applyBorder="1" applyAlignment="1">
      <alignment horizontal="center" wrapText="1"/>
    </xf>
    <xf numFmtId="0" fontId="9" fillId="4" borderId="4" xfId="5" applyFont="1" applyFill="1" applyBorder="1" applyAlignment="1">
      <alignment horizontal="center" wrapText="1"/>
    </xf>
    <xf numFmtId="0" fontId="9" fillId="4" borderId="13" xfId="5" applyFont="1" applyFill="1" applyBorder="1" applyAlignment="1">
      <alignment horizontal="center" wrapText="1"/>
    </xf>
    <xf numFmtId="0" fontId="9" fillId="4" borderId="15" xfId="3" applyFont="1" applyFill="1" applyBorder="1" applyAlignment="1">
      <alignment horizontal="center"/>
    </xf>
    <xf numFmtId="0" fontId="9" fillId="4" borderId="30" xfId="5" applyFont="1" applyFill="1" applyBorder="1" applyAlignment="1">
      <alignment horizontal="center" wrapText="1"/>
    </xf>
    <xf numFmtId="0" fontId="9" fillId="4" borderId="23" xfId="5" applyFont="1" applyFill="1" applyBorder="1" applyAlignment="1">
      <alignment horizontal="center" wrapText="1"/>
    </xf>
    <xf numFmtId="2" fontId="26" fillId="5" borderId="13" xfId="0" applyNumberFormat="1" applyFont="1" applyFill="1" applyBorder="1" applyAlignment="1">
      <alignment horizontal="right"/>
    </xf>
    <xf numFmtId="0" fontId="9" fillId="4" borderId="13" xfId="15" applyFont="1" applyBorder="1" applyAlignment="1">
      <alignment horizontal="left" vertical="center" indent="2"/>
    </xf>
    <xf numFmtId="0" fontId="29" fillId="4" borderId="13" xfId="15" applyFont="1" applyBorder="1" applyAlignment="1">
      <alignment horizontal="left" vertical="center" indent="3"/>
    </xf>
    <xf numFmtId="0" fontId="6" fillId="4" borderId="13" xfId="15" applyFont="1" applyBorder="1" applyAlignment="1">
      <alignment horizontal="left" vertical="center" indent="3"/>
    </xf>
    <xf numFmtId="0" fontId="9" fillId="4" borderId="13" xfId="15" applyFont="1" applyBorder="1" applyAlignment="1">
      <alignment horizontal="left" vertical="center" indent="3"/>
    </xf>
    <xf numFmtId="0" fontId="29" fillId="4" borderId="13" xfId="15" applyFont="1" applyBorder="1" applyAlignment="1">
      <alignment horizontal="left" vertical="center" indent="4"/>
    </xf>
    <xf numFmtId="0" fontId="26" fillId="6" borderId="13" xfId="0" applyFont="1" applyFill="1" applyBorder="1" applyAlignment="1">
      <alignment horizontal="left" indent="10"/>
    </xf>
    <xf numFmtId="0" fontId="6" fillId="4" borderId="13" xfId="15" applyFont="1" applyBorder="1" applyAlignment="1">
      <alignment horizontal="left" vertical="center" indent="4"/>
    </xf>
    <xf numFmtId="0" fontId="26" fillId="2" borderId="13" xfId="0" applyFont="1" applyFill="1" applyBorder="1" applyAlignment="1">
      <alignment horizontal="left" indent="10"/>
    </xf>
    <xf numFmtId="0" fontId="13" fillId="3" borderId="0" xfId="5" applyFont="1" applyFill="1" applyAlignment="1">
      <alignment horizontal="left" vertical="top"/>
    </xf>
    <xf numFmtId="0" fontId="6" fillId="4" borderId="7" xfId="5" applyFont="1" applyFill="1" applyBorder="1" applyAlignment="1">
      <alignment horizontal="left" vertical="center" wrapText="1"/>
    </xf>
    <xf numFmtId="0" fontId="6" fillId="4" borderId="5" xfId="5" applyFont="1" applyFill="1" applyBorder="1" applyAlignment="1">
      <alignment horizontal="left" vertical="center" wrapText="1"/>
    </xf>
    <xf numFmtId="0" fontId="6" fillId="3" borderId="13" xfId="7" applyFont="1" applyFill="1" applyBorder="1" applyAlignment="1">
      <alignment horizontal="left" vertical="center"/>
    </xf>
    <xf numFmtId="3" fontId="0" fillId="0" borderId="0" xfId="0" applyNumberFormat="1" applyFont="1"/>
    <xf numFmtId="0" fontId="31" fillId="0" borderId="0" xfId="0" applyFont="1"/>
    <xf numFmtId="1" fontId="31" fillId="0" borderId="0" xfId="0" applyNumberFormat="1" applyFont="1"/>
    <xf numFmtId="0" fontId="0" fillId="12" borderId="11" xfId="0" applyFill="1" applyBorder="1"/>
    <xf numFmtId="0" fontId="0" fillId="0" borderId="0" xfId="0" applyAlignment="1">
      <alignment vertical="center"/>
    </xf>
    <xf numFmtId="3" fontId="0" fillId="0" borderId="11" xfId="0" applyNumberFormat="1" applyBorder="1"/>
    <xf numFmtId="2" fontId="6" fillId="0" borderId="0" xfId="3" applyNumberFormat="1" applyFont="1"/>
    <xf numFmtId="0" fontId="0" fillId="0" borderId="0" xfId="0" applyBorder="1"/>
    <xf numFmtId="164" fontId="0" fillId="0" borderId="0" xfId="0" applyNumberFormat="1" applyFill="1"/>
    <xf numFmtId="0" fontId="5" fillId="0" borderId="0" xfId="0" applyFont="1" applyAlignment="1">
      <alignment horizontal="left"/>
    </xf>
    <xf numFmtId="2" fontId="5" fillId="0" borderId="0" xfId="0" applyNumberFormat="1" applyFont="1" applyAlignment="1">
      <alignment horizontal="center"/>
    </xf>
    <xf numFmtId="0" fontId="5" fillId="0" borderId="0" xfId="0" applyFont="1" applyAlignment="1">
      <alignment horizontal="center"/>
    </xf>
    <xf numFmtId="0" fontId="0" fillId="13" borderId="0" xfId="0" applyFill="1"/>
    <xf numFmtId="9" fontId="0" fillId="13" borderId="0" xfId="1" applyFont="1" applyFill="1"/>
    <xf numFmtId="1" fontId="0" fillId="13" borderId="0" xfId="0" applyNumberFormat="1" applyFill="1"/>
    <xf numFmtId="9" fontId="0" fillId="13" borderId="0" xfId="0" applyNumberFormat="1" applyFill="1"/>
    <xf numFmtId="1" fontId="1" fillId="13" borderId="0" xfId="10" applyNumberFormat="1" applyFont="1" applyFill="1"/>
    <xf numFmtId="0" fontId="0" fillId="0" borderId="0" xfId="0" applyAlignment="1">
      <alignment wrapText="1"/>
    </xf>
    <xf numFmtId="0" fontId="0" fillId="0" borderId="0" xfId="0" applyAlignment="1"/>
    <xf numFmtId="0" fontId="0" fillId="9" borderId="0" xfId="0" applyFill="1" applyAlignment="1">
      <alignment wrapText="1"/>
    </xf>
    <xf numFmtId="165" fontId="0" fillId="0" borderId="0" xfId="0" applyNumberFormat="1" applyAlignment="1">
      <alignment wrapText="1"/>
    </xf>
    <xf numFmtId="0" fontId="0" fillId="0" borderId="0" xfId="0" applyFill="1" applyAlignment="1">
      <alignment wrapText="1"/>
    </xf>
    <xf numFmtId="0" fontId="0" fillId="0" borderId="0" xfId="0" applyAlignment="1">
      <alignment horizontal="right" wrapText="1" indent="5"/>
    </xf>
    <xf numFmtId="1" fontId="0" fillId="0" borderId="0" xfId="0" applyNumberFormat="1" applyAlignment="1">
      <alignment horizontal="right" wrapText="1" indent="5"/>
    </xf>
    <xf numFmtId="0" fontId="0" fillId="0" borderId="0" xfId="0"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10" borderId="0" xfId="0" applyFill="1" applyAlignment="1">
      <alignment wrapText="1"/>
    </xf>
    <xf numFmtId="0" fontId="0" fillId="0" borderId="7" xfId="0" applyBorder="1" applyAlignment="1">
      <alignment wrapText="1"/>
    </xf>
    <xf numFmtId="0" fontId="0" fillId="0" borderId="0" xfId="0" applyFont="1" applyAlignment="1">
      <alignment wrapText="1"/>
    </xf>
    <xf numFmtId="0" fontId="0" fillId="0" borderId="7" xfId="0" applyBorder="1" applyAlignment="1">
      <alignment vertical="center" wrapText="1"/>
    </xf>
    <xf numFmtId="0" fontId="0" fillId="0" borderId="0" xfId="0" applyFont="1" applyAlignment="1">
      <alignment vertical="center" wrapText="1"/>
    </xf>
    <xf numFmtId="1" fontId="0" fillId="0" borderId="0" xfId="0" applyNumberFormat="1" applyAlignment="1">
      <alignment horizontal="right" indent="3"/>
    </xf>
    <xf numFmtId="165" fontId="0" fillId="0" borderId="0" xfId="0" applyNumberFormat="1" applyAlignment="1">
      <alignment horizontal="right" indent="3"/>
    </xf>
    <xf numFmtId="1" fontId="0" fillId="0" borderId="0" xfId="0" applyNumberFormat="1" applyFill="1" applyAlignment="1">
      <alignment horizontal="right" indent="3"/>
    </xf>
    <xf numFmtId="3" fontId="0" fillId="0" borderId="0" xfId="0" applyNumberFormat="1" applyFill="1" applyAlignment="1">
      <alignment horizontal="right" indent="3"/>
    </xf>
    <xf numFmtId="2" fontId="0" fillId="10" borderId="0" xfId="0" applyNumberFormat="1" applyFill="1" applyAlignment="1">
      <alignment horizontal="right" indent="3"/>
    </xf>
    <xf numFmtId="165" fontId="0" fillId="10" borderId="0" xfId="0" applyNumberFormat="1" applyFill="1" applyAlignment="1">
      <alignment horizontal="right" indent="3"/>
    </xf>
    <xf numFmtId="1" fontId="0" fillId="10" borderId="0" xfId="0" applyNumberFormat="1" applyFill="1" applyAlignment="1">
      <alignment horizontal="right" indent="3"/>
    </xf>
    <xf numFmtId="0" fontId="0" fillId="0" borderId="0" xfId="0" applyAlignment="1">
      <alignment horizontal="right" indent="3"/>
    </xf>
    <xf numFmtId="1" fontId="0" fillId="0" borderId="0" xfId="0" applyNumberFormat="1" applyAlignment="1">
      <alignment horizontal="center"/>
    </xf>
    <xf numFmtId="2" fontId="0" fillId="10" borderId="25" xfId="0" applyNumberFormat="1" applyFill="1" applyBorder="1" applyAlignment="1">
      <alignment horizontal="right" indent="3"/>
    </xf>
    <xf numFmtId="165" fontId="0" fillId="10" borderId="0" xfId="0" applyNumberFormat="1" applyFill="1" applyBorder="1" applyAlignment="1">
      <alignment horizontal="right" indent="3"/>
    </xf>
    <xf numFmtId="164" fontId="0" fillId="10" borderId="25" xfId="0" applyNumberFormat="1" applyFill="1" applyBorder="1" applyAlignment="1">
      <alignment horizontal="right" indent="3"/>
    </xf>
    <xf numFmtId="2" fontId="0" fillId="10" borderId="0" xfId="0" applyNumberFormat="1" applyFill="1" applyBorder="1" applyAlignment="1">
      <alignment horizontal="right" indent="3"/>
    </xf>
    <xf numFmtId="1" fontId="19" fillId="10" borderId="0" xfId="10" applyNumberFormat="1" applyFill="1" applyBorder="1" applyAlignment="1">
      <alignment horizontal="right" indent="3"/>
    </xf>
    <xf numFmtId="1" fontId="19" fillId="0" borderId="0" xfId="10" applyNumberFormat="1" applyFill="1" applyAlignment="1">
      <alignment horizontal="right" indent="3"/>
    </xf>
    <xf numFmtId="2" fontId="0" fillId="0" borderId="0" xfId="0" applyNumberFormat="1" applyAlignment="1">
      <alignment horizontal="right" indent="3"/>
    </xf>
    <xf numFmtId="3" fontId="0" fillId="0" borderId="0" xfId="0" applyNumberFormat="1" applyAlignment="1">
      <alignment horizontal="right" indent="3"/>
    </xf>
    <xf numFmtId="0" fontId="0" fillId="0" borderId="0" xfId="0" applyAlignment="1">
      <alignment horizontal="left"/>
    </xf>
    <xf numFmtId="1" fontId="0" fillId="0" borderId="0" xfId="0" applyNumberFormat="1" applyBorder="1" applyAlignment="1">
      <alignment horizontal="right" indent="3"/>
    </xf>
    <xf numFmtId="0" fontId="0" fillId="0" borderId="0" xfId="0" applyBorder="1" applyAlignment="1">
      <alignment horizontal="right" indent="3"/>
    </xf>
    <xf numFmtId="0" fontId="0" fillId="0" borderId="0" xfId="0" applyAlignment="1">
      <alignment horizontal="right" wrapText="1" indent="3"/>
    </xf>
    <xf numFmtId="3" fontId="0" fillId="0" borderId="0" xfId="0" applyNumberFormat="1" applyAlignment="1">
      <alignment horizontal="right" wrapText="1" indent="3"/>
    </xf>
    <xf numFmtId="1" fontId="0" fillId="0" borderId="0" xfId="0" applyNumberFormat="1" applyAlignment="1">
      <alignment horizontal="right" wrapText="1" indent="3"/>
    </xf>
    <xf numFmtId="165" fontId="0" fillId="0" borderId="0" xfId="0" applyNumberFormat="1" applyAlignment="1">
      <alignment horizontal="right" wrapText="1" indent="3"/>
    </xf>
    <xf numFmtId="49" fontId="3" fillId="0" borderId="11" xfId="0" applyNumberFormat="1" applyFont="1" applyBorder="1" applyAlignment="1">
      <alignment horizontal="center" vertical="center" wrapText="1"/>
    </xf>
    <xf numFmtId="49" fontId="3" fillId="10" borderId="11" xfId="0" applyNumberFormat="1" applyFont="1" applyFill="1" applyBorder="1" applyAlignment="1">
      <alignment wrapText="1"/>
    </xf>
    <xf numFmtId="49" fontId="3" fillId="10" borderId="0" xfId="0" applyNumberFormat="1" applyFont="1" applyFill="1" applyBorder="1" applyAlignment="1">
      <alignment wrapText="1"/>
    </xf>
    <xf numFmtId="165" fontId="0" fillId="0" borderId="0" xfId="0" applyNumberFormat="1" applyFont="1" applyAlignment="1"/>
    <xf numFmtId="1" fontId="35" fillId="0" borderId="0" xfId="0" applyNumberFormat="1" applyFont="1" applyAlignment="1">
      <alignment horizontal="right" indent="3"/>
    </xf>
    <xf numFmtId="0" fontId="35" fillId="0" borderId="0" xfId="0" applyFont="1" applyAlignment="1">
      <alignment horizontal="right" indent="3"/>
    </xf>
    <xf numFmtId="0" fontId="0" fillId="0" borderId="0" xfId="0" applyFill="1" applyAlignment="1">
      <alignment horizontal="right" indent="3"/>
    </xf>
    <xf numFmtId="2" fontId="35" fillId="0" borderId="0" xfId="0" applyNumberFormat="1" applyFont="1" applyAlignment="1">
      <alignment horizontal="right" indent="3"/>
    </xf>
    <xf numFmtId="165" fontId="35" fillId="0" borderId="0" xfId="0" applyNumberFormat="1" applyFont="1" applyAlignment="1">
      <alignment horizontal="right" indent="3"/>
    </xf>
    <xf numFmtId="0" fontId="0" fillId="0" borderId="7" xfId="0" applyBorder="1" applyAlignment="1">
      <alignment horizontal="right" indent="3"/>
    </xf>
    <xf numFmtId="1" fontId="3" fillId="0" borderId="7" xfId="0" applyNumberFormat="1" applyFont="1" applyBorder="1" applyAlignment="1">
      <alignment horizontal="right" indent="3"/>
    </xf>
    <xf numFmtId="1" fontId="3" fillId="0" borderId="0" xfId="0" applyNumberFormat="1" applyFont="1" applyBorder="1" applyAlignment="1">
      <alignment horizontal="right" indent="3"/>
    </xf>
    <xf numFmtId="0" fontId="0" fillId="0" borderId="0" xfId="0" applyFont="1" applyAlignment="1">
      <alignment horizontal="right" indent="3"/>
    </xf>
    <xf numFmtId="1" fontId="0" fillId="0" borderId="0" xfId="0" applyNumberFormat="1" applyFont="1" applyAlignment="1">
      <alignment horizontal="right" indent="3"/>
    </xf>
    <xf numFmtId="0" fontId="0" fillId="0" borderId="25" xfId="0" applyBorder="1" applyAlignment="1">
      <alignment wrapText="1"/>
    </xf>
    <xf numFmtId="0" fontId="0" fillId="0" borderId="0" xfId="0" applyBorder="1" applyAlignment="1">
      <alignment wrapText="1"/>
    </xf>
    <xf numFmtId="0" fontId="22" fillId="0" borderId="0" xfId="0" applyFont="1" applyAlignment="1">
      <alignment horizontal="left" wrapText="1"/>
    </xf>
    <xf numFmtId="0" fontId="22" fillId="0" borderId="0" xfId="0" applyFont="1" applyAlignment="1">
      <alignment horizontal="center" wrapText="1"/>
    </xf>
    <xf numFmtId="165" fontId="0" fillId="0" borderId="0" xfId="0" applyNumberFormat="1" applyFill="1" applyAlignment="1">
      <alignment wrapText="1"/>
    </xf>
    <xf numFmtId="165" fontId="0" fillId="10" borderId="0" xfId="0" applyNumberFormat="1" applyFill="1" applyAlignment="1">
      <alignment wrapText="1"/>
    </xf>
    <xf numFmtId="1" fontId="0" fillId="10" borderId="0" xfId="0" applyNumberFormat="1" applyFill="1" applyAlignment="1">
      <alignment wrapText="1"/>
    </xf>
    <xf numFmtId="2" fontId="0" fillId="10" borderId="0" xfId="0" applyNumberFormat="1" applyFill="1" applyAlignment="1">
      <alignment wrapText="1"/>
    </xf>
    <xf numFmtId="0" fontId="3" fillId="0" borderId="0" xfId="0" applyFont="1" applyAlignment="1">
      <alignment wrapText="1"/>
    </xf>
    <xf numFmtId="0" fontId="0" fillId="0" borderId="0" xfId="0" applyBorder="1" applyAlignment="1">
      <alignment horizontal="center"/>
    </xf>
    <xf numFmtId="1" fontId="0" fillId="0" borderId="0" xfId="0" applyNumberFormat="1" applyBorder="1"/>
    <xf numFmtId="0" fontId="0" fillId="0" borderId="0" xfId="0" applyFill="1" applyBorder="1"/>
    <xf numFmtId="3" fontId="0" fillId="0" borderId="0" xfId="0" applyNumberFormat="1" applyBorder="1"/>
    <xf numFmtId="1" fontId="0" fillId="0" borderId="0" xfId="0" applyNumberFormat="1" applyFill="1" applyBorder="1"/>
    <xf numFmtId="164" fontId="0" fillId="0" borderId="0" xfId="0" applyNumberFormat="1" applyBorder="1"/>
    <xf numFmtId="0" fontId="3" fillId="0" borderId="0" xfId="0" applyFont="1" applyAlignment="1">
      <alignment vertical="center"/>
    </xf>
    <xf numFmtId="0" fontId="0" fillId="0" borderId="0" xfId="0" applyAlignment="1">
      <alignment wrapText="1"/>
    </xf>
    <xf numFmtId="0" fontId="0" fillId="0" borderId="0" xfId="0" applyAlignment="1"/>
    <xf numFmtId="0" fontId="13" fillId="3" borderId="0" xfId="3" applyFont="1" applyFill="1" applyAlignment="1">
      <alignment horizontal="left" vertical="top" wrapText="1"/>
    </xf>
    <xf numFmtId="0" fontId="6" fillId="3" borderId="0" xfId="3" applyFont="1" applyFill="1" applyAlignment="1">
      <alignment horizontal="left" vertical="top" wrapText="1"/>
    </xf>
    <xf numFmtId="4" fontId="4" fillId="3" borderId="0" xfId="12" applyFont="1" applyFill="1" applyAlignment="1">
      <alignment horizontal="left"/>
    </xf>
    <xf numFmtId="4" fontId="9" fillId="4" borderId="18" xfId="12" applyFont="1" applyFill="1" applyBorder="1" applyAlignment="1">
      <alignment horizontal="center" vertical="center" wrapText="1"/>
    </xf>
    <xf numFmtId="4" fontId="9" fillId="4" borderId="19" xfId="12" applyFont="1" applyFill="1" applyBorder="1" applyAlignment="1">
      <alignment horizontal="center" vertical="center" wrapText="1"/>
    </xf>
    <xf numFmtId="0" fontId="13" fillId="11" borderId="0" xfId="3" applyFont="1" applyFill="1" applyAlignment="1">
      <alignment horizontal="left" vertical="top" wrapText="1"/>
    </xf>
    <xf numFmtId="0" fontId="6" fillId="11" borderId="0" xfId="3" applyFont="1" applyFill="1" applyAlignment="1">
      <alignment horizontal="left" vertical="top" wrapText="1"/>
    </xf>
    <xf numFmtId="0" fontId="6" fillId="4" borderId="10" xfId="5" applyFont="1" applyFill="1" applyBorder="1" applyAlignment="1">
      <alignment horizontal="left" vertical="center" wrapText="1"/>
    </xf>
    <xf numFmtId="0" fontId="6" fillId="4" borderId="11" xfId="5" applyFont="1" applyFill="1" applyBorder="1" applyAlignment="1">
      <alignment horizontal="left" vertical="center" wrapText="1"/>
    </xf>
    <xf numFmtId="0" fontId="6" fillId="3" borderId="11" xfId="3" applyFont="1" applyFill="1" applyBorder="1" applyAlignment="1">
      <alignment horizontal="left" vertical="center" wrapText="1"/>
    </xf>
    <xf numFmtId="0" fontId="6" fillId="3" borderId="12" xfId="3" applyFont="1" applyFill="1" applyBorder="1" applyAlignment="1">
      <alignment horizontal="left" vertical="center" wrapText="1"/>
    </xf>
    <xf numFmtId="2" fontId="6" fillId="6" borderId="13" xfId="0" applyNumberFormat="1" applyFont="1" applyFill="1" applyBorder="1" applyAlignment="1">
      <alignment horizontal="right"/>
    </xf>
    <xf numFmtId="0" fontId="6" fillId="3" borderId="13" xfId="5" applyFont="1" applyFill="1" applyBorder="1" applyAlignment="1">
      <alignment horizontal="left" vertical="center" wrapText="1"/>
    </xf>
    <xf numFmtId="0" fontId="13" fillId="3" borderId="0" xfId="5" applyFont="1" applyFill="1" applyAlignment="1">
      <alignment horizontal="left" vertical="top"/>
    </xf>
    <xf numFmtId="0" fontId="13" fillId="3" borderId="0" xfId="3" applyFont="1" applyFill="1" applyAlignment="1">
      <alignment horizontal="left" vertical="top"/>
    </xf>
    <xf numFmtId="0" fontId="13" fillId="3" borderId="0" xfId="5" applyFont="1" applyFill="1" applyAlignment="1">
      <alignment horizontal="left" vertical="top" wrapText="1"/>
    </xf>
    <xf numFmtId="0" fontId="9" fillId="4" borderId="6" xfId="5" applyFont="1" applyFill="1" applyBorder="1" applyAlignment="1">
      <alignment horizontal="center" vertical="center" wrapText="1"/>
    </xf>
    <xf numFmtId="0" fontId="9" fillId="4" borderId="7" xfId="5" applyFont="1" applyFill="1" applyBorder="1" applyAlignment="1">
      <alignment horizontal="center" vertical="center" wrapText="1"/>
    </xf>
    <xf numFmtId="0" fontId="9" fillId="4" borderId="5" xfId="5" applyFont="1" applyFill="1" applyBorder="1" applyAlignment="1">
      <alignment horizontal="center" vertical="center" wrapText="1"/>
    </xf>
    <xf numFmtId="0" fontId="9" fillId="4" borderId="10" xfId="5" applyFont="1" applyFill="1" applyBorder="1" applyAlignment="1">
      <alignment horizontal="center" vertical="center" wrapText="1"/>
    </xf>
    <xf numFmtId="0" fontId="9" fillId="4" borderId="11" xfId="5" applyFont="1" applyFill="1" applyBorder="1" applyAlignment="1">
      <alignment horizontal="center" vertical="center" wrapText="1"/>
    </xf>
    <xf numFmtId="0" fontId="9" fillId="4" borderId="12" xfId="5" applyFont="1" applyFill="1" applyBorder="1" applyAlignment="1">
      <alignment horizontal="center" vertical="center" wrapText="1"/>
    </xf>
    <xf numFmtId="0" fontId="9" fillId="4" borderId="4" xfId="5" applyFont="1" applyFill="1" applyBorder="1" applyAlignment="1">
      <alignment horizontal="center" vertical="center" wrapText="1"/>
    </xf>
    <xf numFmtId="0" fontId="9" fillId="4" borderId="8" xfId="5" applyFont="1" applyFill="1" applyBorder="1" applyAlignment="1">
      <alignment horizontal="center" vertical="center" wrapText="1"/>
    </xf>
    <xf numFmtId="0" fontId="9" fillId="4" borderId="14" xfId="5" applyFont="1" applyFill="1" applyBorder="1" applyAlignment="1">
      <alignment horizontal="center" vertical="center" wrapText="1"/>
    </xf>
    <xf numFmtId="0" fontId="9" fillId="4" borderId="17" xfId="5" applyFont="1" applyFill="1" applyBorder="1" applyAlignment="1">
      <alignment horizontal="center" vertical="center" wrapText="1"/>
    </xf>
    <xf numFmtId="0" fontId="9" fillId="4" borderId="18" xfId="5" applyFont="1" applyFill="1" applyBorder="1" applyAlignment="1">
      <alignment horizontal="center" vertical="center" wrapText="1"/>
    </xf>
    <xf numFmtId="0" fontId="9" fillId="4" borderId="19" xfId="5" applyFont="1" applyFill="1" applyBorder="1" applyAlignment="1">
      <alignment horizontal="center" vertical="center" wrapText="1"/>
    </xf>
    <xf numFmtId="0" fontId="9" fillId="4" borderId="1" xfId="5" applyFont="1" applyFill="1" applyBorder="1" applyAlignment="1">
      <alignment horizontal="left" vertical="center" wrapText="1"/>
    </xf>
    <xf numFmtId="0" fontId="9" fillId="4" borderId="2" xfId="5" applyFont="1" applyFill="1" applyBorder="1" applyAlignment="1">
      <alignment horizontal="left" vertical="center" wrapText="1"/>
    </xf>
    <xf numFmtId="0" fontId="9" fillId="4" borderId="1" xfId="5" applyFont="1" applyFill="1" applyBorder="1" applyAlignment="1">
      <alignment horizontal="center" vertical="center" wrapText="1"/>
    </xf>
    <xf numFmtId="0" fontId="9" fillId="4" borderId="3" xfId="5" applyFont="1" applyFill="1" applyBorder="1" applyAlignment="1">
      <alignment horizontal="center" vertical="center" wrapText="1"/>
    </xf>
    <xf numFmtId="0" fontId="9" fillId="4" borderId="2" xfId="5" applyFont="1" applyFill="1" applyBorder="1" applyAlignment="1">
      <alignment horizontal="center" vertical="center" wrapText="1"/>
    </xf>
    <xf numFmtId="0" fontId="9" fillId="4" borderId="4" xfId="5" applyFont="1" applyFill="1" applyBorder="1" applyAlignment="1">
      <alignment horizontal="left" vertical="center" wrapText="1"/>
    </xf>
    <xf numFmtId="0" fontId="9" fillId="4" borderId="8" xfId="5" applyFont="1" applyFill="1" applyBorder="1" applyAlignment="1">
      <alignment horizontal="left" vertical="center" wrapText="1"/>
    </xf>
    <xf numFmtId="0" fontId="9" fillId="4" borderId="15" xfId="5" applyFont="1" applyFill="1" applyBorder="1" applyAlignment="1">
      <alignment horizontal="left" vertical="center" wrapText="1"/>
    </xf>
    <xf numFmtId="0" fontId="9" fillId="4" borderId="15" xfId="5" applyFont="1" applyFill="1" applyBorder="1" applyAlignment="1">
      <alignment horizontal="center" vertical="center" wrapText="1"/>
    </xf>
    <xf numFmtId="0" fontId="9" fillId="4" borderId="9" xfId="5" applyFont="1" applyFill="1" applyBorder="1" applyAlignment="1">
      <alignment horizontal="center" vertical="center" wrapText="1"/>
    </xf>
    <xf numFmtId="0" fontId="9" fillId="4" borderId="16" xfId="5" applyFont="1" applyFill="1" applyBorder="1" applyAlignment="1">
      <alignment horizontal="center" vertical="center" wrapText="1"/>
    </xf>
    <xf numFmtId="2" fontId="26" fillId="6" borderId="13" xfId="0" applyNumberFormat="1" applyFont="1" applyFill="1" applyBorder="1" applyAlignment="1">
      <alignment horizontal="right"/>
    </xf>
    <xf numFmtId="0" fontId="6" fillId="3" borderId="13" xfId="7" applyFont="1" applyFill="1" applyBorder="1" applyAlignment="1">
      <alignment horizontal="left" vertical="center"/>
    </xf>
    <xf numFmtId="0" fontId="9" fillId="4" borderId="3" xfId="5" applyFont="1" applyFill="1" applyBorder="1" applyAlignment="1">
      <alignment horizontal="left" vertical="center" wrapText="1"/>
    </xf>
    <xf numFmtId="0" fontId="6" fillId="4" borderId="1" xfId="17" applyFont="1" applyBorder="1" applyAlignment="1">
      <alignment horizontal="left" vertical="center" wrapText="1"/>
    </xf>
    <xf numFmtId="0" fontId="6" fillId="3" borderId="3" xfId="3" applyFont="1" applyFill="1" applyBorder="1" applyAlignment="1">
      <alignment horizontal="left" vertical="center" wrapText="1"/>
    </xf>
    <xf numFmtId="0" fontId="6" fillId="3" borderId="2" xfId="3" applyFont="1" applyFill="1" applyBorder="1" applyAlignment="1">
      <alignment horizontal="left" vertical="center" wrapText="1"/>
    </xf>
    <xf numFmtId="0" fontId="4" fillId="3" borderId="0" xfId="2" applyFill="1" applyAlignment="1">
      <alignment horizontal="left"/>
    </xf>
    <xf numFmtId="0" fontId="9" fillId="4" borderId="0" xfId="5" applyFont="1" applyFill="1" applyAlignment="1">
      <alignment horizontal="center" vertical="center" wrapText="1"/>
    </xf>
    <xf numFmtId="0" fontId="9" fillId="4" borderId="30" xfId="5" applyFont="1" applyFill="1" applyBorder="1" applyAlignment="1">
      <alignment horizontal="center" vertical="center" wrapText="1"/>
    </xf>
    <xf numFmtId="0" fontId="9" fillId="4" borderId="17" xfId="5" applyFont="1" applyFill="1" applyBorder="1" applyAlignment="1">
      <alignment horizontal="center" wrapText="1"/>
    </xf>
    <xf numFmtId="0" fontId="9" fillId="4" borderId="18" xfId="5" applyFont="1" applyFill="1" applyBorder="1" applyAlignment="1">
      <alignment horizontal="center" wrapText="1"/>
    </xf>
    <xf numFmtId="0" fontId="9" fillId="4" borderId="19" xfId="5" applyFont="1" applyFill="1" applyBorder="1" applyAlignment="1">
      <alignment horizontal="center" wrapText="1"/>
    </xf>
    <xf numFmtId="0" fontId="0" fillId="0" borderId="13" xfId="0" applyBorder="1" applyAlignment="1">
      <alignment horizontal="left" vertical="center"/>
    </xf>
    <xf numFmtId="0" fontId="6" fillId="4" borderId="3" xfId="17" applyFont="1" applyBorder="1" applyAlignment="1">
      <alignment horizontal="left" vertical="center" wrapText="1"/>
    </xf>
    <xf numFmtId="0" fontId="6" fillId="4" borderId="2" xfId="17" applyFont="1" applyBorder="1" applyAlignment="1">
      <alignment horizontal="left" vertical="center" wrapText="1"/>
    </xf>
    <xf numFmtId="0" fontId="6" fillId="3" borderId="13" xfId="16" applyFont="1" applyFill="1" applyBorder="1" applyAlignment="1">
      <alignment horizontal="left" vertical="center"/>
    </xf>
    <xf numFmtId="0" fontId="4" fillId="3" borderId="0" xfId="2" applyFill="1" applyAlignment="1">
      <alignment vertical="top" wrapText="1"/>
    </xf>
    <xf numFmtId="0" fontId="16" fillId="3" borderId="0" xfId="3" applyFont="1" applyFill="1" applyAlignment="1">
      <alignment vertical="top" wrapText="1"/>
    </xf>
    <xf numFmtId="0" fontId="9" fillId="4" borderId="6" xfId="5" applyFont="1" applyFill="1" applyBorder="1" applyAlignment="1">
      <alignment horizontal="left" vertical="center" wrapText="1"/>
    </xf>
    <xf numFmtId="0" fontId="9" fillId="4" borderId="23" xfId="5" applyFont="1" applyFill="1" applyBorder="1" applyAlignment="1">
      <alignment horizontal="left" vertical="center" wrapText="1"/>
    </xf>
    <xf numFmtId="0" fontId="6" fillId="4" borderId="1" xfId="5" applyFont="1" applyFill="1" applyBorder="1" applyAlignment="1">
      <alignment horizontal="left" vertical="center" wrapText="1"/>
    </xf>
    <xf numFmtId="49" fontId="13" fillId="3" borderId="0" xfId="3" applyNumberFormat="1" applyFont="1" applyFill="1" applyAlignment="1">
      <alignment horizontal="left" vertical="top"/>
    </xf>
    <xf numFmtId="0" fontId="13" fillId="3" borderId="0" xfId="5" applyFont="1" applyFill="1" applyAlignment="1">
      <alignment horizontal="left" vertical="center"/>
    </xf>
    <xf numFmtId="0" fontId="13" fillId="3" borderId="0" xfId="5" applyFont="1" applyFill="1" applyAlignment="1">
      <alignment horizontal="left" wrapText="1"/>
    </xf>
    <xf numFmtId="49" fontId="13" fillId="3" borderId="0" xfId="5" applyNumberFormat="1" applyFont="1" applyFill="1" applyAlignment="1">
      <alignment horizontal="left"/>
    </xf>
    <xf numFmtId="0" fontId="13" fillId="3" borderId="0" xfId="5" applyFont="1" applyFill="1" applyAlignment="1">
      <alignment horizontal="left"/>
    </xf>
    <xf numFmtId="0" fontId="6" fillId="3" borderId="13" xfId="3" applyFont="1" applyFill="1" applyBorder="1" applyAlignment="1">
      <alignment horizontal="left" vertical="center"/>
    </xf>
    <xf numFmtId="0" fontId="13" fillId="3" borderId="0" xfId="3" applyFont="1" applyFill="1" applyAlignment="1">
      <alignment horizontal="left" wrapText="1"/>
    </xf>
    <xf numFmtId="0" fontId="9" fillId="4" borderId="6" xfId="3" applyFont="1" applyFill="1" applyBorder="1"/>
    <xf numFmtId="0" fontId="6" fillId="3" borderId="7" xfId="3" applyFont="1" applyFill="1" applyBorder="1"/>
    <xf numFmtId="0" fontId="6" fillId="3" borderId="5" xfId="3" applyFont="1" applyFill="1" applyBorder="1"/>
    <xf numFmtId="0" fontId="6" fillId="4" borderId="25" xfId="3" applyFont="1" applyFill="1" applyBorder="1" applyAlignment="1">
      <alignment horizontal="left" wrapText="1"/>
    </xf>
    <xf numFmtId="0" fontId="6" fillId="3" borderId="0" xfId="3" applyFont="1" applyFill="1" applyAlignment="1">
      <alignment horizontal="left" wrapText="1"/>
    </xf>
    <xf numFmtId="0" fontId="6" fillId="3" borderId="9" xfId="3" applyFont="1" applyFill="1" applyBorder="1" applyAlignment="1">
      <alignment horizontal="left" wrapText="1"/>
    </xf>
    <xf numFmtId="0" fontId="6" fillId="4" borderId="25" xfId="3" applyFont="1" applyFill="1" applyBorder="1" applyAlignment="1">
      <alignment horizontal="left"/>
    </xf>
    <xf numFmtId="0" fontId="6" fillId="3" borderId="0" xfId="3" applyFont="1" applyFill="1" applyAlignment="1">
      <alignment horizontal="left"/>
    </xf>
    <xf numFmtId="0" fontId="6" fillId="3" borderId="9" xfId="3" applyFont="1" applyFill="1" applyBorder="1" applyAlignment="1">
      <alignment horizontal="left"/>
    </xf>
    <xf numFmtId="0" fontId="13" fillId="3" borderId="0" xfId="3" applyFont="1" applyFill="1" applyAlignment="1">
      <alignment vertical="top" wrapText="1"/>
    </xf>
    <xf numFmtId="0" fontId="6" fillId="3" borderId="0" xfId="3" applyFont="1" applyFill="1" applyAlignment="1">
      <alignment vertical="top" wrapText="1"/>
    </xf>
    <xf numFmtId="0" fontId="4" fillId="3" borderId="0" xfId="2" applyFill="1" applyAlignment="1">
      <alignment horizontal="left" vertical="center"/>
    </xf>
    <xf numFmtId="0" fontId="9" fillId="4" borderId="1" xfId="8" applyFont="1" applyFill="1" applyBorder="1" applyAlignment="1">
      <alignment horizontal="center" vertical="center" wrapText="1"/>
    </xf>
    <xf numFmtId="0" fontId="9" fillId="4" borderId="2" xfId="8" applyFont="1" applyFill="1" applyBorder="1" applyAlignment="1">
      <alignment horizontal="center" vertical="center" wrapText="1"/>
    </xf>
    <xf numFmtId="0" fontId="13" fillId="3" borderId="0" xfId="8" applyFont="1" applyFill="1" applyAlignment="1">
      <alignment vertical="center" wrapText="1"/>
    </xf>
  </cellXfs>
  <cellStyles count="18">
    <cellStyle name="AggOrange_LR_Left" xfId="17"/>
    <cellStyle name="AggOrange_LRBorder" xfId="16"/>
    <cellStyle name="AggOrange_LRTBorder_Bold" xfId="15"/>
    <cellStyle name="Constants" xfId="4"/>
    <cellStyle name="Empty_L_border" xfId="11"/>
    <cellStyle name="Empty_TBorder" xfId="7"/>
    <cellStyle name="Headline" xfId="2"/>
    <cellStyle name="Huono" xfId="10" builtinId="27"/>
    <cellStyle name="KP_thin_border_orange" xfId="14"/>
    <cellStyle name="Normaali" xfId="0" builtinId="0"/>
    <cellStyle name="Normal 2" xfId="3"/>
    <cellStyle name="Normal_CRFReport-templateKP" xfId="12"/>
    <cellStyle name="Normál_Munka1" xfId="13"/>
    <cellStyle name="Normal_Table 3(II).1 Canada" xfId="6"/>
    <cellStyle name="Prosenttia" xfId="1" builtinId="5"/>
    <cellStyle name="Обычный_CRF2002 (1)" xfId="8"/>
    <cellStyle name="Обычный_CRF2002 (1) 2" xfId="9"/>
    <cellStyle name="Обычный_LULUCF module - v 1.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_Hlevy_\MMM\CAP-suunnitelman%20arviointi\laskenta_sekala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onnos_lietelannansijoitt"/>
      <sheetName val="luomu"/>
      <sheetName val="sekalaista"/>
      <sheetName val="kosteikot"/>
      <sheetName val="säätösalaojitus min"/>
      <sheetName val="ylim"/>
    </sheetNames>
    <sheetDataSet>
      <sheetData sheetId="0">
        <row r="26">
          <cell r="B26">
            <v>1.5714285714285714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heetViews>
  <sheetFormatPr defaultRowHeight="15" x14ac:dyDescent="0.25"/>
  <cols>
    <col min="1" max="1" width="52.42578125" customWidth="1"/>
  </cols>
  <sheetData>
    <row r="1" spans="1:1" ht="26.45" customHeight="1" x14ac:dyDescent="0.25">
      <c r="A1" s="233" t="s">
        <v>633</v>
      </c>
    </row>
    <row r="2" spans="1:1" ht="75" x14ac:dyDescent="0.25">
      <c r="A2" s="226" t="s">
        <v>634</v>
      </c>
    </row>
    <row r="3" spans="1:1" x14ac:dyDescent="0.25">
      <c r="A3" s="4" t="s">
        <v>635</v>
      </c>
    </row>
  </sheetData>
  <sheetProtection algorithmName="SHA-512" hashValue="Cd0OjKu5+ZHY1tmcXWI1Ht0MlTf4ZDIahJI/vsA0901Eu8oSxkdOUNEKVOfCFuYx2ZEg6lrqhsj4Nj5Hi0whLA==" saltValue="RqH3JXUtnB/0PzhQzB0Wj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H21" sqref="H21"/>
    </sheetView>
  </sheetViews>
  <sheetFormatPr defaultColWidth="8.85546875" defaultRowHeight="15" x14ac:dyDescent="0.25"/>
  <cols>
    <col min="1" max="1" width="6.42578125" customWidth="1"/>
    <col min="2" max="2" width="6.42578125" bestFit="1" customWidth="1"/>
    <col min="3" max="3" width="37.42578125" customWidth="1"/>
    <col min="4" max="4" width="13.140625" customWidth="1"/>
    <col min="5" max="5" width="8.140625" customWidth="1"/>
    <col min="6" max="7" width="9.42578125" bestFit="1" customWidth="1"/>
    <col min="8" max="8" width="6.85546875" customWidth="1"/>
    <col min="9" max="10" width="7" customWidth="1"/>
    <col min="11" max="11" width="7.140625" customWidth="1"/>
    <col min="12" max="12" width="16.42578125" customWidth="1"/>
    <col min="13" max="13" width="17.42578125" bestFit="1" customWidth="1"/>
    <col min="14" max="14" width="27.85546875" bestFit="1" customWidth="1"/>
  </cols>
  <sheetData>
    <row r="1" spans="1:19" x14ac:dyDescent="0.25">
      <c r="A1" s="71" t="s">
        <v>605</v>
      </c>
      <c r="B1" s="71" t="s">
        <v>192</v>
      </c>
      <c r="C1" s="71" t="s">
        <v>193</v>
      </c>
      <c r="D1" s="71" t="s">
        <v>194</v>
      </c>
      <c r="E1" s="71" t="s">
        <v>195</v>
      </c>
      <c r="F1" s="71" t="s">
        <v>196</v>
      </c>
      <c r="G1" s="71" t="s">
        <v>197</v>
      </c>
      <c r="H1" s="71" t="s">
        <v>198</v>
      </c>
      <c r="I1" s="71" t="s">
        <v>199</v>
      </c>
      <c r="J1" s="71" t="s">
        <v>612</v>
      </c>
      <c r="K1" s="71" t="s">
        <v>613</v>
      </c>
      <c r="L1" s="71" t="s">
        <v>200</v>
      </c>
      <c r="M1" s="71" t="s">
        <v>201</v>
      </c>
      <c r="N1" s="71" t="s">
        <v>623</v>
      </c>
      <c r="O1" s="71" t="s">
        <v>202</v>
      </c>
      <c r="P1" s="71" t="s">
        <v>203</v>
      </c>
      <c r="Q1" s="71" t="s">
        <v>204</v>
      </c>
    </row>
    <row r="2" spans="1:19" x14ac:dyDescent="0.25">
      <c r="A2" t="s">
        <v>604</v>
      </c>
      <c r="B2" t="s">
        <v>160</v>
      </c>
      <c r="C2" t="s">
        <v>205</v>
      </c>
      <c r="D2" t="s">
        <v>206</v>
      </c>
      <c r="E2" t="s">
        <v>207</v>
      </c>
      <c r="F2" t="s">
        <v>208</v>
      </c>
      <c r="G2">
        <v>7.9</v>
      </c>
      <c r="H2">
        <v>6.5</v>
      </c>
      <c r="I2">
        <v>9.4</v>
      </c>
      <c r="J2" s="70">
        <f t="shared" ref="J2:J11" si="0">(H2-$G2)/$G2</f>
        <v>-0.17721518987341775</v>
      </c>
      <c r="K2" s="70">
        <f t="shared" ref="K2:K11" si="1">(I2-$G2)/$G2</f>
        <v>0.18987341772151897</v>
      </c>
      <c r="L2" t="s">
        <v>209</v>
      </c>
      <c r="M2">
        <v>1</v>
      </c>
      <c r="N2" s="7">
        <f>G2*(44/12)</f>
        <v>28.966666666666669</v>
      </c>
      <c r="O2" t="s">
        <v>210</v>
      </c>
      <c r="P2" t="s">
        <v>211</v>
      </c>
      <c r="Q2" t="s">
        <v>212</v>
      </c>
    </row>
    <row r="3" spans="1:19" x14ac:dyDescent="0.25">
      <c r="A3" t="s">
        <v>604</v>
      </c>
      <c r="B3" t="s">
        <v>160</v>
      </c>
      <c r="C3" t="s">
        <v>213</v>
      </c>
      <c r="D3" t="s">
        <v>214</v>
      </c>
      <c r="E3" t="s">
        <v>207</v>
      </c>
      <c r="F3" t="s">
        <v>208</v>
      </c>
      <c r="G3">
        <v>5.7</v>
      </c>
      <c r="H3">
        <v>2.9</v>
      </c>
      <c r="I3">
        <v>8.6</v>
      </c>
      <c r="J3" s="70">
        <f t="shared" si="0"/>
        <v>-0.49122807017543862</v>
      </c>
      <c r="K3" s="70">
        <f t="shared" si="1"/>
        <v>0.50877192982456132</v>
      </c>
      <c r="L3" t="s">
        <v>209</v>
      </c>
      <c r="M3">
        <v>1</v>
      </c>
      <c r="N3" s="1">
        <f>G3*(44/12)</f>
        <v>20.9</v>
      </c>
      <c r="O3" t="s">
        <v>210</v>
      </c>
      <c r="P3" t="s">
        <v>211</v>
      </c>
      <c r="Q3" t="s">
        <v>215</v>
      </c>
    </row>
    <row r="4" spans="1:19" x14ac:dyDescent="0.25">
      <c r="A4" t="s">
        <v>604</v>
      </c>
      <c r="B4" t="s">
        <v>160</v>
      </c>
      <c r="C4" t="s">
        <v>216</v>
      </c>
      <c r="D4" t="s">
        <v>217</v>
      </c>
      <c r="E4" t="s">
        <v>218</v>
      </c>
      <c r="F4" t="s">
        <v>208</v>
      </c>
      <c r="G4">
        <v>3.6</v>
      </c>
      <c r="H4">
        <v>1.8</v>
      </c>
      <c r="I4">
        <v>5.4</v>
      </c>
      <c r="J4" s="70">
        <f t="shared" si="0"/>
        <v>-0.5</v>
      </c>
      <c r="K4" s="70">
        <f t="shared" si="1"/>
        <v>0.50000000000000011</v>
      </c>
      <c r="L4" t="s">
        <v>209</v>
      </c>
      <c r="M4">
        <v>1</v>
      </c>
      <c r="N4" s="1">
        <f>G4*(44/12)</f>
        <v>13.2</v>
      </c>
      <c r="O4" t="s">
        <v>210</v>
      </c>
      <c r="P4" t="s">
        <v>211</v>
      </c>
      <c r="Q4" t="s">
        <v>219</v>
      </c>
    </row>
    <row r="5" spans="1:19" x14ac:dyDescent="0.25">
      <c r="A5" t="s">
        <v>604</v>
      </c>
      <c r="B5" t="s">
        <v>160</v>
      </c>
      <c r="C5" t="s">
        <v>220</v>
      </c>
      <c r="D5" t="s">
        <v>221</v>
      </c>
      <c r="E5" t="s">
        <v>207</v>
      </c>
      <c r="F5" t="s">
        <v>208</v>
      </c>
      <c r="G5">
        <v>3.5</v>
      </c>
      <c r="J5" s="70"/>
      <c r="K5" s="70"/>
      <c r="L5" t="s">
        <v>209</v>
      </c>
      <c r="M5">
        <v>1</v>
      </c>
      <c r="N5" s="1">
        <f>G5*(44/12)</f>
        <v>12.833333333333332</v>
      </c>
      <c r="O5" t="s">
        <v>210</v>
      </c>
      <c r="P5" t="s">
        <v>222</v>
      </c>
      <c r="Q5" t="s">
        <v>223</v>
      </c>
    </row>
    <row r="6" spans="1:19" x14ac:dyDescent="0.25">
      <c r="A6" t="s">
        <v>604</v>
      </c>
      <c r="B6" t="s">
        <v>162</v>
      </c>
      <c r="C6" t="s">
        <v>205</v>
      </c>
      <c r="D6" t="s">
        <v>206</v>
      </c>
      <c r="E6" t="s">
        <v>207</v>
      </c>
      <c r="F6" t="s">
        <v>224</v>
      </c>
      <c r="G6">
        <v>13</v>
      </c>
      <c r="H6">
        <v>8.1999999999999993</v>
      </c>
      <c r="I6">
        <v>18</v>
      </c>
      <c r="J6" s="70">
        <f t="shared" si="0"/>
        <v>-0.36923076923076931</v>
      </c>
      <c r="K6" s="70">
        <f t="shared" si="1"/>
        <v>0.38461538461538464</v>
      </c>
      <c r="L6" t="s">
        <v>225</v>
      </c>
      <c r="M6">
        <v>298</v>
      </c>
      <c r="N6" s="7">
        <f>(G6*(44/28)*M6)/1000</f>
        <v>6.0877142857142852</v>
      </c>
      <c r="O6" t="s">
        <v>210</v>
      </c>
      <c r="P6" t="s">
        <v>211</v>
      </c>
      <c r="Q6" t="s">
        <v>226</v>
      </c>
    </row>
    <row r="7" spans="1:19" x14ac:dyDescent="0.25">
      <c r="A7" t="s">
        <v>604</v>
      </c>
      <c r="B7" t="s">
        <v>162</v>
      </c>
      <c r="C7" t="s">
        <v>213</v>
      </c>
      <c r="D7" t="s">
        <v>214</v>
      </c>
      <c r="E7" t="s">
        <v>207</v>
      </c>
      <c r="F7" t="s">
        <v>224</v>
      </c>
      <c r="G7">
        <v>9.5</v>
      </c>
      <c r="H7">
        <v>4.5999999999999996</v>
      </c>
      <c r="I7">
        <v>14</v>
      </c>
      <c r="J7" s="70">
        <f t="shared" si="0"/>
        <v>-0.51578947368421058</v>
      </c>
      <c r="K7" s="70">
        <f t="shared" si="1"/>
        <v>0.47368421052631576</v>
      </c>
      <c r="L7" t="s">
        <v>225</v>
      </c>
      <c r="M7">
        <v>298</v>
      </c>
      <c r="N7" s="1">
        <f>(G7*(44/28)*M7)/1000</f>
        <v>4.4487142857142858</v>
      </c>
      <c r="O7" t="s">
        <v>210</v>
      </c>
      <c r="P7" t="s">
        <v>211</v>
      </c>
      <c r="Q7" t="s">
        <v>227</v>
      </c>
    </row>
    <row r="8" spans="1:19" x14ac:dyDescent="0.25">
      <c r="A8" t="s">
        <v>604</v>
      </c>
      <c r="B8" t="s">
        <v>162</v>
      </c>
      <c r="C8" t="s">
        <v>216</v>
      </c>
      <c r="D8" t="s">
        <v>217</v>
      </c>
      <c r="E8" t="s">
        <v>218</v>
      </c>
      <c r="F8" t="s">
        <v>224</v>
      </c>
      <c r="G8">
        <v>1.6</v>
      </c>
      <c r="H8">
        <v>0.56000000000000005</v>
      </c>
      <c r="I8">
        <v>2.7</v>
      </c>
      <c r="J8" s="70">
        <f t="shared" si="0"/>
        <v>-0.65</v>
      </c>
      <c r="K8" s="70">
        <f t="shared" si="1"/>
        <v>0.6875</v>
      </c>
      <c r="L8" t="s">
        <v>225</v>
      </c>
      <c r="M8">
        <v>298</v>
      </c>
      <c r="N8" s="1">
        <f>(G8*(44/28)*M8)/1000</f>
        <v>0.74925714285714284</v>
      </c>
      <c r="O8" t="s">
        <v>210</v>
      </c>
      <c r="P8" t="s">
        <v>211</v>
      </c>
      <c r="Q8" t="s">
        <v>228</v>
      </c>
    </row>
    <row r="9" spans="1:19" ht="14.45" customHeight="1" x14ac:dyDescent="0.25">
      <c r="A9" t="s">
        <v>604</v>
      </c>
      <c r="B9" t="s">
        <v>162</v>
      </c>
      <c r="C9" t="s">
        <v>220</v>
      </c>
      <c r="D9" t="s">
        <v>221</v>
      </c>
      <c r="E9" t="s">
        <v>207</v>
      </c>
      <c r="F9" t="s">
        <v>224</v>
      </c>
      <c r="G9">
        <v>5.7</v>
      </c>
      <c r="J9" s="70"/>
      <c r="K9" s="70"/>
      <c r="L9" t="s">
        <v>225</v>
      </c>
      <c r="M9">
        <v>298</v>
      </c>
      <c r="N9" s="1">
        <f>(G9*(44/28)*M9)/1000</f>
        <v>2.6692285714285715</v>
      </c>
      <c r="O9" t="s">
        <v>210</v>
      </c>
      <c r="P9" t="s">
        <v>222</v>
      </c>
      <c r="Q9" t="s">
        <v>223</v>
      </c>
    </row>
    <row r="10" spans="1:19" ht="14.45" customHeight="1" x14ac:dyDescent="0.25">
      <c r="A10" t="s">
        <v>604</v>
      </c>
      <c r="B10" t="s">
        <v>161</v>
      </c>
      <c r="C10" t="s">
        <v>216</v>
      </c>
      <c r="D10" t="s">
        <v>217</v>
      </c>
      <c r="E10" t="s">
        <v>218</v>
      </c>
      <c r="F10" t="s">
        <v>208</v>
      </c>
      <c r="G10">
        <v>39</v>
      </c>
      <c r="H10">
        <v>-2.9</v>
      </c>
      <c r="I10">
        <v>81</v>
      </c>
      <c r="J10" s="70">
        <f t="shared" si="0"/>
        <v>-1.0743589743589743</v>
      </c>
      <c r="K10" s="70">
        <f t="shared" si="1"/>
        <v>1.0769230769230769</v>
      </c>
      <c r="L10" t="s">
        <v>229</v>
      </c>
      <c r="M10">
        <v>25</v>
      </c>
      <c r="N10" s="1">
        <f>(G10*M10)/1000</f>
        <v>0.97499999999999998</v>
      </c>
      <c r="O10" t="s">
        <v>210</v>
      </c>
      <c r="P10" t="s">
        <v>211</v>
      </c>
      <c r="Q10" t="s">
        <v>230</v>
      </c>
    </row>
    <row r="11" spans="1:19" s="160" customFormat="1" x14ac:dyDescent="0.25">
      <c r="A11" s="160" t="s">
        <v>604</v>
      </c>
      <c r="B11" s="160" t="s">
        <v>161</v>
      </c>
      <c r="C11" s="160" t="s">
        <v>231</v>
      </c>
      <c r="D11" s="160" t="s">
        <v>232</v>
      </c>
      <c r="E11" s="160" t="s">
        <v>218</v>
      </c>
      <c r="F11" s="160" t="s">
        <v>208</v>
      </c>
      <c r="G11" s="160">
        <v>1165</v>
      </c>
      <c r="H11" s="160">
        <v>335</v>
      </c>
      <c r="I11" s="160">
        <v>1995</v>
      </c>
      <c r="J11" s="161">
        <f t="shared" si="0"/>
        <v>-0.71244635193133043</v>
      </c>
      <c r="K11" s="161">
        <f t="shared" si="1"/>
        <v>0.71244635193133043</v>
      </c>
      <c r="L11" s="160" t="s">
        <v>229</v>
      </c>
      <c r="M11" s="160">
        <v>25</v>
      </c>
      <c r="N11" s="162">
        <f>(G11*M11)/1000</f>
        <v>29.125</v>
      </c>
      <c r="O11" s="160" t="s">
        <v>210</v>
      </c>
      <c r="P11" s="160" t="s">
        <v>211</v>
      </c>
      <c r="Q11" s="160" t="s">
        <v>233</v>
      </c>
    </row>
    <row r="12" spans="1:19" s="160" customFormat="1" x14ac:dyDescent="0.25">
      <c r="A12" s="160" t="s">
        <v>604</v>
      </c>
      <c r="B12" s="160" t="s">
        <v>161</v>
      </c>
      <c r="C12" s="160" t="s">
        <v>234</v>
      </c>
      <c r="D12" s="160" t="s">
        <v>235</v>
      </c>
      <c r="E12" s="160" t="s">
        <v>218</v>
      </c>
      <c r="F12" s="160" t="s">
        <v>208</v>
      </c>
      <c r="G12" s="160">
        <v>527</v>
      </c>
      <c r="H12" s="160">
        <v>285</v>
      </c>
      <c r="I12" s="160">
        <v>769</v>
      </c>
      <c r="J12" s="161">
        <f t="shared" ref="J12:K14" si="2">(H12-$G12)/$G12</f>
        <v>-0.45920303605313095</v>
      </c>
      <c r="K12" s="161">
        <f t="shared" si="2"/>
        <v>0.45920303605313095</v>
      </c>
      <c r="L12" s="160" t="s">
        <v>229</v>
      </c>
      <c r="M12" s="160">
        <v>25</v>
      </c>
      <c r="N12" s="162">
        <f>(G12*M12)/1000</f>
        <v>13.175000000000001</v>
      </c>
      <c r="O12" s="160" t="s">
        <v>210</v>
      </c>
      <c r="P12" s="160" t="s">
        <v>211</v>
      </c>
      <c r="Q12" s="160" t="s">
        <v>236</v>
      </c>
    </row>
    <row r="13" spans="1:19" s="160" customFormat="1" x14ac:dyDescent="0.25">
      <c r="A13" s="160" t="s">
        <v>606</v>
      </c>
      <c r="B13" s="160" t="s">
        <v>161</v>
      </c>
      <c r="C13" s="160" t="s">
        <v>607</v>
      </c>
      <c r="D13" s="160" t="s">
        <v>608</v>
      </c>
      <c r="E13" s="160" t="s">
        <v>218</v>
      </c>
      <c r="F13" s="160" t="s">
        <v>208</v>
      </c>
      <c r="G13" s="160">
        <v>183</v>
      </c>
      <c r="H13" s="160">
        <v>118</v>
      </c>
      <c r="I13" s="160">
        <v>228</v>
      </c>
      <c r="J13" s="161">
        <f t="shared" si="2"/>
        <v>-0.3551912568306011</v>
      </c>
      <c r="K13" s="161">
        <f t="shared" si="2"/>
        <v>0.24590163934426229</v>
      </c>
      <c r="L13" s="160" t="s">
        <v>229</v>
      </c>
      <c r="M13" s="160">
        <v>25</v>
      </c>
      <c r="N13" s="162">
        <f t="shared" ref="N13:N14" si="3">(G13*M13)/1000</f>
        <v>4.5750000000000002</v>
      </c>
      <c r="O13" s="160" t="s">
        <v>210</v>
      </c>
      <c r="P13" s="160" t="s">
        <v>609</v>
      </c>
      <c r="Q13" s="160" t="s">
        <v>610</v>
      </c>
      <c r="R13" s="160" t="s">
        <v>609</v>
      </c>
      <c r="S13" s="160" t="s">
        <v>610</v>
      </c>
    </row>
    <row r="14" spans="1:19" s="160" customFormat="1" x14ac:dyDescent="0.25">
      <c r="A14" s="160" t="s">
        <v>606</v>
      </c>
      <c r="B14" s="160" t="s">
        <v>161</v>
      </c>
      <c r="C14" s="160" t="s">
        <v>611</v>
      </c>
      <c r="D14" s="160" t="s">
        <v>608</v>
      </c>
      <c r="E14" s="160" t="s">
        <v>218</v>
      </c>
      <c r="F14" s="160" t="s">
        <v>208</v>
      </c>
      <c r="G14" s="160">
        <v>416</v>
      </c>
      <c r="H14" s="160">
        <v>259</v>
      </c>
      <c r="I14" s="160">
        <v>669</v>
      </c>
      <c r="J14" s="161">
        <f t="shared" si="2"/>
        <v>-0.37740384615384615</v>
      </c>
      <c r="K14" s="161">
        <f t="shared" si="2"/>
        <v>0.60817307692307687</v>
      </c>
      <c r="L14" s="160" t="s">
        <v>229</v>
      </c>
      <c r="M14" s="160">
        <v>26</v>
      </c>
      <c r="N14" s="162">
        <f t="shared" si="3"/>
        <v>10.816000000000001</v>
      </c>
      <c r="O14" s="160" t="s">
        <v>210</v>
      </c>
      <c r="P14" s="160" t="s">
        <v>609</v>
      </c>
      <c r="Q14" s="160" t="s">
        <v>610</v>
      </c>
      <c r="R14" s="160" t="s">
        <v>609</v>
      </c>
      <c r="S14" s="160" t="s">
        <v>610</v>
      </c>
    </row>
    <row r="15" spans="1:19" x14ac:dyDescent="0.25">
      <c r="A15" t="s">
        <v>604</v>
      </c>
      <c r="B15" t="s">
        <v>160</v>
      </c>
      <c r="C15" t="s">
        <v>238</v>
      </c>
      <c r="D15" t="s">
        <v>239</v>
      </c>
      <c r="E15" t="s">
        <v>218</v>
      </c>
      <c r="F15" t="s">
        <v>208</v>
      </c>
      <c r="G15" s="6">
        <v>-0.55000000000000004</v>
      </c>
      <c r="H15">
        <v>-0.77</v>
      </c>
      <c r="I15">
        <v>-0.34</v>
      </c>
      <c r="J15" s="70">
        <f t="shared" ref="J15:J17" si="4">(H15-$G15)/$G15</f>
        <v>0.39999999999999991</v>
      </c>
      <c r="K15" s="70">
        <f t="shared" ref="K15:K17" si="5">(I15-$G15)/$G15</f>
        <v>-0.38181818181818183</v>
      </c>
      <c r="L15" t="s">
        <v>209</v>
      </c>
      <c r="M15">
        <v>1</v>
      </c>
      <c r="N15" s="1">
        <f>G15*(44/12)</f>
        <v>-2.0166666666666666</v>
      </c>
      <c r="O15" t="s">
        <v>210</v>
      </c>
      <c r="P15" t="s">
        <v>211</v>
      </c>
      <c r="Q15" t="s">
        <v>240</v>
      </c>
    </row>
    <row r="16" spans="1:19" x14ac:dyDescent="0.25">
      <c r="A16" t="s">
        <v>604</v>
      </c>
      <c r="B16" t="s">
        <v>160</v>
      </c>
      <c r="C16" t="s">
        <v>241</v>
      </c>
      <c r="D16" t="s">
        <v>239</v>
      </c>
      <c r="E16" t="s">
        <v>218</v>
      </c>
      <c r="F16" t="s">
        <v>208</v>
      </c>
      <c r="G16">
        <f>0.9*0.08</f>
        <v>7.2000000000000008E-2</v>
      </c>
      <c r="H16" s="6">
        <f>0.9*0.06</f>
        <v>5.3999999999999999E-2</v>
      </c>
      <c r="I16" s="6">
        <f>0.9*0.11</f>
        <v>9.9000000000000005E-2</v>
      </c>
      <c r="J16" s="70">
        <f t="shared" si="4"/>
        <v>-0.25000000000000011</v>
      </c>
      <c r="K16" s="70">
        <f t="shared" si="5"/>
        <v>0.37499999999999989</v>
      </c>
      <c r="L16" t="s">
        <v>209</v>
      </c>
      <c r="M16">
        <v>1</v>
      </c>
      <c r="N16" s="7">
        <f>G16*(44/12)</f>
        <v>0.26400000000000001</v>
      </c>
      <c r="O16" t="s">
        <v>210</v>
      </c>
      <c r="P16" t="s">
        <v>211</v>
      </c>
      <c r="Q16" t="s">
        <v>242</v>
      </c>
    </row>
    <row r="17" spans="1:17" x14ac:dyDescent="0.25">
      <c r="A17" t="s">
        <v>604</v>
      </c>
      <c r="B17" t="s">
        <v>161</v>
      </c>
      <c r="C17" t="s">
        <v>238</v>
      </c>
      <c r="D17" t="s">
        <v>239</v>
      </c>
      <c r="E17" t="s">
        <v>218</v>
      </c>
      <c r="F17" t="s">
        <v>208</v>
      </c>
      <c r="G17">
        <v>137</v>
      </c>
      <c r="H17">
        <v>0</v>
      </c>
      <c r="I17">
        <v>493</v>
      </c>
      <c r="J17" s="70">
        <f t="shared" si="4"/>
        <v>-1</v>
      </c>
      <c r="K17" s="70">
        <f t="shared" si="5"/>
        <v>2.5985401459854014</v>
      </c>
      <c r="L17" t="s">
        <v>243</v>
      </c>
      <c r="M17">
        <v>25</v>
      </c>
      <c r="N17" s="1">
        <f>((G17*16/12)*M17)/1000</f>
        <v>4.5666666666666664</v>
      </c>
      <c r="O17" t="s">
        <v>210</v>
      </c>
      <c r="P17" t="s">
        <v>211</v>
      </c>
      <c r="Q17" t="s">
        <v>244</v>
      </c>
    </row>
    <row r="18" spans="1:17" x14ac:dyDescent="0.25">
      <c r="A18" t="s">
        <v>604</v>
      </c>
      <c r="B18" t="s">
        <v>162</v>
      </c>
      <c r="C18" t="s">
        <v>238</v>
      </c>
      <c r="D18" t="s">
        <v>239</v>
      </c>
      <c r="E18" t="s">
        <v>218</v>
      </c>
      <c r="F18" t="s">
        <v>208</v>
      </c>
      <c r="G18">
        <v>0</v>
      </c>
      <c r="L18" t="s">
        <v>225</v>
      </c>
      <c r="N18" s="1">
        <v>0</v>
      </c>
      <c r="O18" t="s">
        <v>210</v>
      </c>
      <c r="P18" t="s">
        <v>211</v>
      </c>
      <c r="Q18" t="s">
        <v>245</v>
      </c>
    </row>
    <row r="19" spans="1:17" s="160" customFormat="1" x14ac:dyDescent="0.25">
      <c r="A19" s="160" t="s">
        <v>606</v>
      </c>
      <c r="B19" s="160" t="s">
        <v>161</v>
      </c>
      <c r="C19" s="160" t="s">
        <v>614</v>
      </c>
      <c r="D19" s="160" t="s">
        <v>237</v>
      </c>
      <c r="F19" s="160" t="s">
        <v>208</v>
      </c>
      <c r="G19" s="160">
        <v>300</v>
      </c>
      <c r="H19" s="162">
        <f>$G19+J19*$G19</f>
        <v>190.1107345523329</v>
      </c>
      <c r="I19" s="162">
        <f>$G19+K19*$G19</f>
        <v>428.11120744010088</v>
      </c>
      <c r="J19" s="163">
        <f>AVERAGE(J13:J14)</f>
        <v>-0.36629755149222365</v>
      </c>
      <c r="K19" s="163">
        <f>AVERAGE(K13:K14)</f>
        <v>0.42703735813366961</v>
      </c>
      <c r="L19" s="160" t="s">
        <v>229</v>
      </c>
      <c r="M19" s="160">
        <v>25</v>
      </c>
      <c r="N19" s="164">
        <f>(G19*M19)/1000</f>
        <v>7.5</v>
      </c>
      <c r="O19" s="160" t="s">
        <v>210</v>
      </c>
    </row>
    <row r="20" spans="1:17" x14ac:dyDescent="0.25">
      <c r="A20" t="s">
        <v>606</v>
      </c>
      <c r="B20" t="s">
        <v>161</v>
      </c>
      <c r="C20" t="s">
        <v>617</v>
      </c>
      <c r="F20" t="s">
        <v>208</v>
      </c>
      <c r="G20">
        <v>8.5999999999999993E-2</v>
      </c>
      <c r="H20">
        <v>1.0999999999999999E-2</v>
      </c>
      <c r="I20">
        <v>0.03</v>
      </c>
      <c r="J20" s="163">
        <f>AVERAGE(J14:J15)</f>
        <v>1.1298076923076883E-2</v>
      </c>
      <c r="K20" s="163">
        <f>AVERAGE(K14:K15)</f>
        <v>0.11317744755244752</v>
      </c>
      <c r="L20" t="s">
        <v>615</v>
      </c>
      <c r="M20">
        <v>25</v>
      </c>
      <c r="N20" s="1">
        <f>((G20*(44/28)*M20)/1000)*180</f>
        <v>0.6081428571428571</v>
      </c>
      <c r="O20" t="s">
        <v>619</v>
      </c>
      <c r="P20" t="s">
        <v>618</v>
      </c>
      <c r="Q20" t="s">
        <v>616</v>
      </c>
    </row>
  </sheetData>
  <phoneticPr fontId="3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D7" sqref="D7"/>
    </sheetView>
  </sheetViews>
  <sheetFormatPr defaultColWidth="9.140625" defaultRowHeight="12" x14ac:dyDescent="0.2"/>
  <cols>
    <col min="1" max="1" width="43.42578125" style="11" bestFit="1" customWidth="1"/>
    <col min="2" max="12" width="8.140625" style="11" customWidth="1"/>
    <col min="13" max="16384" width="9.140625" style="11"/>
  </cols>
  <sheetData>
    <row r="1" spans="1:12" ht="15.75" x14ac:dyDescent="0.25">
      <c r="A1" s="93" t="s">
        <v>340</v>
      </c>
      <c r="B1" s="94"/>
      <c r="C1" s="94"/>
      <c r="D1" s="95"/>
      <c r="E1" s="95"/>
      <c r="F1" s="95"/>
      <c r="G1" s="95"/>
      <c r="H1" s="96"/>
      <c r="I1" s="96"/>
      <c r="J1" s="96"/>
      <c r="K1" s="96"/>
      <c r="L1" s="10" t="s">
        <v>36</v>
      </c>
    </row>
    <row r="2" spans="1:12" ht="16.5" x14ac:dyDescent="0.25">
      <c r="A2" s="238" t="s">
        <v>341</v>
      </c>
      <c r="B2" s="238"/>
      <c r="C2" s="238"/>
      <c r="D2" s="238"/>
      <c r="E2" s="238"/>
      <c r="F2" s="238"/>
      <c r="G2" s="238"/>
      <c r="H2" s="96"/>
      <c r="I2" s="96"/>
      <c r="J2" s="96"/>
      <c r="K2" s="96"/>
      <c r="L2" s="10" t="s">
        <v>38</v>
      </c>
    </row>
    <row r="3" spans="1:12" x14ac:dyDescent="0.2">
      <c r="A3" s="96"/>
      <c r="B3" s="96"/>
      <c r="C3" s="96"/>
      <c r="D3" s="96"/>
      <c r="E3" s="96"/>
      <c r="F3" s="96"/>
      <c r="G3" s="96"/>
      <c r="H3" s="96"/>
      <c r="I3" s="96"/>
      <c r="J3" s="96"/>
      <c r="K3" s="96"/>
      <c r="L3" s="10" t="s">
        <v>41</v>
      </c>
    </row>
    <row r="4" spans="1:12" x14ac:dyDescent="0.2">
      <c r="A4" s="97"/>
      <c r="B4" s="97"/>
      <c r="C4" s="97"/>
      <c r="D4" s="97"/>
      <c r="E4" s="97"/>
      <c r="F4" s="97"/>
      <c r="G4" s="97"/>
      <c r="H4" s="97"/>
      <c r="I4" s="97"/>
      <c r="J4" s="97"/>
      <c r="K4" s="97"/>
      <c r="L4" s="97"/>
    </row>
    <row r="5" spans="1:12" ht="51" x14ac:dyDescent="0.2">
      <c r="A5" s="98" t="s">
        <v>342</v>
      </c>
      <c r="B5" s="99" t="s">
        <v>343</v>
      </c>
      <c r="C5" s="100" t="s">
        <v>344</v>
      </c>
      <c r="D5" s="100" t="s">
        <v>345</v>
      </c>
      <c r="E5" s="100" t="s">
        <v>346</v>
      </c>
      <c r="F5" s="100" t="s">
        <v>347</v>
      </c>
      <c r="G5" s="100" t="s">
        <v>348</v>
      </c>
      <c r="H5" s="100" t="s">
        <v>349</v>
      </c>
      <c r="I5" s="100" t="s">
        <v>350</v>
      </c>
      <c r="J5" s="100" t="s">
        <v>351</v>
      </c>
      <c r="K5" s="101" t="s">
        <v>352</v>
      </c>
      <c r="L5" s="101" t="s">
        <v>353</v>
      </c>
    </row>
    <row r="6" spans="1:12" ht="12.75" thickBot="1" x14ac:dyDescent="0.25">
      <c r="A6" s="102" t="s">
        <v>354</v>
      </c>
      <c r="B6" s="239" t="s">
        <v>355</v>
      </c>
      <c r="C6" s="239"/>
      <c r="D6" s="239"/>
      <c r="E6" s="239"/>
      <c r="F6" s="239"/>
      <c r="G6" s="239"/>
      <c r="H6" s="239"/>
      <c r="I6" s="239"/>
      <c r="J6" s="239"/>
      <c r="K6" s="239"/>
      <c r="L6" s="240"/>
    </row>
    <row r="7" spans="1:12" ht="14.25" thickTop="1" x14ac:dyDescent="0.2">
      <c r="A7" s="103" t="s">
        <v>356</v>
      </c>
      <c r="B7" s="104">
        <v>21852.348999999998</v>
      </c>
      <c r="C7" s="104" t="s">
        <v>84</v>
      </c>
      <c r="D7" s="104">
        <v>4.03</v>
      </c>
      <c r="E7" s="104">
        <v>0.46500000000000002</v>
      </c>
      <c r="F7" s="104" t="s">
        <v>84</v>
      </c>
      <c r="G7" s="104">
        <v>0.34100000000000003</v>
      </c>
      <c r="H7" s="104" t="s">
        <v>84</v>
      </c>
      <c r="I7" s="104">
        <v>3.3370000000000002</v>
      </c>
      <c r="J7" s="104" t="s">
        <v>69</v>
      </c>
      <c r="K7" s="104" t="s">
        <v>84</v>
      </c>
      <c r="L7" s="105">
        <v>21860.522000000001</v>
      </c>
    </row>
    <row r="8" spans="1:12" ht="13.5" x14ac:dyDescent="0.2">
      <c r="A8" s="106" t="s">
        <v>357</v>
      </c>
      <c r="B8" s="104" t="s">
        <v>84</v>
      </c>
      <c r="C8" s="104" t="s">
        <v>84</v>
      </c>
      <c r="D8" s="104" t="s">
        <v>84</v>
      </c>
      <c r="E8" s="104" t="s">
        <v>84</v>
      </c>
      <c r="F8" s="104" t="s">
        <v>84</v>
      </c>
      <c r="G8" s="104" t="s">
        <v>84</v>
      </c>
      <c r="H8" s="104" t="s">
        <v>84</v>
      </c>
      <c r="I8" s="104" t="s">
        <v>84</v>
      </c>
      <c r="J8" s="104" t="s">
        <v>84</v>
      </c>
      <c r="K8" s="104" t="s">
        <v>84</v>
      </c>
      <c r="L8" s="105" t="s">
        <v>84</v>
      </c>
    </row>
    <row r="9" spans="1:12" ht="13.5" x14ac:dyDescent="0.2">
      <c r="A9" s="106" t="s">
        <v>358</v>
      </c>
      <c r="B9" s="104" t="s">
        <v>69</v>
      </c>
      <c r="C9" s="104" t="s">
        <v>84</v>
      </c>
      <c r="D9" s="104">
        <v>2491.1309999999999</v>
      </c>
      <c r="E9" s="104">
        <v>2.86</v>
      </c>
      <c r="F9" s="104" t="s">
        <v>84</v>
      </c>
      <c r="G9" s="104" t="s">
        <v>69</v>
      </c>
      <c r="H9" s="104" t="s">
        <v>84</v>
      </c>
      <c r="I9" s="104">
        <v>0.64700000000000002</v>
      </c>
      <c r="J9" s="104" t="s">
        <v>84</v>
      </c>
      <c r="K9" s="104" t="s">
        <v>84</v>
      </c>
      <c r="L9" s="105">
        <v>2494.6379999999999</v>
      </c>
    </row>
    <row r="10" spans="1:12" ht="13.5" x14ac:dyDescent="0.2">
      <c r="A10" s="106" t="s">
        <v>359</v>
      </c>
      <c r="B10" s="104">
        <v>0.38700000000000001</v>
      </c>
      <c r="C10" s="104" t="s">
        <v>84</v>
      </c>
      <c r="D10" s="104">
        <v>0.13600000000000001</v>
      </c>
      <c r="E10" s="104">
        <v>243.50899999999999</v>
      </c>
      <c r="F10" s="104" t="s">
        <v>84</v>
      </c>
      <c r="G10" s="104" t="s">
        <v>69</v>
      </c>
      <c r="H10" s="104" t="s">
        <v>84</v>
      </c>
      <c r="I10" s="104" t="s">
        <v>69</v>
      </c>
      <c r="J10" s="104" t="s">
        <v>84</v>
      </c>
      <c r="K10" s="104" t="s">
        <v>84</v>
      </c>
      <c r="L10" s="105">
        <v>244.03200000000001</v>
      </c>
    </row>
    <row r="11" spans="1:12" ht="13.5" x14ac:dyDescent="0.2">
      <c r="A11" s="106" t="s">
        <v>360</v>
      </c>
      <c r="B11" s="104" t="s">
        <v>84</v>
      </c>
      <c r="C11" s="104" t="s">
        <v>84</v>
      </c>
      <c r="D11" s="104" t="s">
        <v>84</v>
      </c>
      <c r="E11" s="104" t="s">
        <v>84</v>
      </c>
      <c r="F11" s="104" t="s">
        <v>84</v>
      </c>
      <c r="G11" s="104" t="s">
        <v>84</v>
      </c>
      <c r="H11" s="104" t="s">
        <v>84</v>
      </c>
      <c r="I11" s="104" t="s">
        <v>84</v>
      </c>
      <c r="J11" s="104" t="s">
        <v>84</v>
      </c>
      <c r="K11" s="104" t="s">
        <v>84</v>
      </c>
      <c r="L11" s="105" t="s">
        <v>84</v>
      </c>
    </row>
    <row r="12" spans="1:12" ht="13.5" x14ac:dyDescent="0.2">
      <c r="A12" s="106" t="s">
        <v>361</v>
      </c>
      <c r="B12" s="104" t="s">
        <v>69</v>
      </c>
      <c r="C12" s="104" t="s">
        <v>84</v>
      </c>
      <c r="D12" s="104">
        <v>0.23699999999999999</v>
      </c>
      <c r="E12" s="104" t="s">
        <v>69</v>
      </c>
      <c r="F12" s="104" t="s">
        <v>84</v>
      </c>
      <c r="G12" s="104">
        <v>162.08099999999999</v>
      </c>
      <c r="H12" s="104" t="s">
        <v>84</v>
      </c>
      <c r="I12" s="104" t="s">
        <v>69</v>
      </c>
      <c r="J12" s="104" t="s">
        <v>84</v>
      </c>
      <c r="K12" s="104" t="s">
        <v>84</v>
      </c>
      <c r="L12" s="105">
        <v>162.31800000000001</v>
      </c>
    </row>
    <row r="13" spans="1:12" ht="13.5" x14ac:dyDescent="0.2">
      <c r="A13" s="106" t="s">
        <v>362</v>
      </c>
      <c r="B13" s="104" t="s">
        <v>69</v>
      </c>
      <c r="C13" s="104" t="s">
        <v>84</v>
      </c>
      <c r="D13" s="104">
        <v>0.67300000000000004</v>
      </c>
      <c r="E13" s="104" t="s">
        <v>69</v>
      </c>
      <c r="F13" s="104" t="s">
        <v>84</v>
      </c>
      <c r="G13" s="104">
        <v>0.79300000000000004</v>
      </c>
      <c r="H13" s="104">
        <v>6271.3249999999998</v>
      </c>
      <c r="I13" s="104">
        <v>0.316</v>
      </c>
      <c r="J13" s="104" t="s">
        <v>84</v>
      </c>
      <c r="K13" s="104" t="s">
        <v>84</v>
      </c>
      <c r="L13" s="105">
        <v>6273.107</v>
      </c>
    </row>
    <row r="14" spans="1:12" ht="13.5" x14ac:dyDescent="0.2">
      <c r="A14" s="106" t="s">
        <v>363</v>
      </c>
      <c r="B14" s="104" t="s">
        <v>69</v>
      </c>
      <c r="C14" s="104" t="s">
        <v>84</v>
      </c>
      <c r="D14" s="104">
        <v>0.27400000000000002</v>
      </c>
      <c r="E14" s="104" t="s">
        <v>69</v>
      </c>
      <c r="F14" s="104" t="s">
        <v>84</v>
      </c>
      <c r="G14" s="104" t="s">
        <v>69</v>
      </c>
      <c r="H14" s="104" t="s">
        <v>84</v>
      </c>
      <c r="I14" s="104">
        <v>1498.452</v>
      </c>
      <c r="J14" s="104" t="s">
        <v>69</v>
      </c>
      <c r="K14" s="104" t="s">
        <v>84</v>
      </c>
      <c r="L14" s="105">
        <v>1498.7260000000001</v>
      </c>
    </row>
    <row r="15" spans="1:12" ht="13.5" x14ac:dyDescent="0.2">
      <c r="A15" s="106" t="s">
        <v>364</v>
      </c>
      <c r="B15" s="104" t="s">
        <v>69</v>
      </c>
      <c r="C15" s="104" t="s">
        <v>84</v>
      </c>
      <c r="D15" s="104" t="s">
        <v>84</v>
      </c>
      <c r="E15" s="104" t="s">
        <v>84</v>
      </c>
      <c r="F15" s="104" t="s">
        <v>84</v>
      </c>
      <c r="G15" s="104" t="s">
        <v>84</v>
      </c>
      <c r="H15" s="104">
        <v>0.19900000000000001</v>
      </c>
      <c r="I15" s="104" t="s">
        <v>69</v>
      </c>
      <c r="J15" s="104">
        <v>1309.931</v>
      </c>
      <c r="K15" s="104" t="s">
        <v>84</v>
      </c>
      <c r="L15" s="105">
        <v>1310.1300000000001</v>
      </c>
    </row>
    <row r="16" spans="1:12" ht="13.5" x14ac:dyDescent="0.2">
      <c r="A16" s="106" t="s">
        <v>365</v>
      </c>
      <c r="B16" s="104" t="s">
        <v>84</v>
      </c>
      <c r="C16" s="104" t="s">
        <v>84</v>
      </c>
      <c r="D16" s="104" t="s">
        <v>84</v>
      </c>
      <c r="E16" s="104" t="s">
        <v>84</v>
      </c>
      <c r="F16" s="104" t="s">
        <v>84</v>
      </c>
      <c r="G16" s="104" t="s">
        <v>84</v>
      </c>
      <c r="H16" s="104" t="s">
        <v>84</v>
      </c>
      <c r="I16" s="104" t="s">
        <v>84</v>
      </c>
      <c r="J16" s="104" t="s">
        <v>84</v>
      </c>
      <c r="K16" s="104" t="s">
        <v>84</v>
      </c>
      <c r="L16" s="105" t="s">
        <v>84</v>
      </c>
    </row>
    <row r="17" spans="1:12" x14ac:dyDescent="0.2">
      <c r="A17" s="107" t="s">
        <v>366</v>
      </c>
      <c r="B17" s="105">
        <v>21852.736000000001</v>
      </c>
      <c r="C17" s="105" t="s">
        <v>84</v>
      </c>
      <c r="D17" s="105">
        <v>2496.4810000000002</v>
      </c>
      <c r="E17" s="105">
        <v>246.834</v>
      </c>
      <c r="F17" s="105" t="s">
        <v>84</v>
      </c>
      <c r="G17" s="105">
        <v>163.215</v>
      </c>
      <c r="H17" s="105">
        <v>6271.5240000000003</v>
      </c>
      <c r="I17" s="105">
        <v>1502.752</v>
      </c>
      <c r="J17" s="105">
        <v>1309.931</v>
      </c>
      <c r="K17" s="105" t="s">
        <v>84</v>
      </c>
      <c r="L17" s="105">
        <v>33843.472999999998</v>
      </c>
    </row>
    <row r="18" spans="1:12" ht="14.25" x14ac:dyDescent="0.2">
      <c r="A18" s="107" t="s">
        <v>367</v>
      </c>
      <c r="B18" s="105">
        <v>-7.7859999999999996</v>
      </c>
      <c r="C18" s="105" t="s">
        <v>84</v>
      </c>
      <c r="D18" s="105">
        <v>1.843</v>
      </c>
      <c r="E18" s="105">
        <v>2.802</v>
      </c>
      <c r="F18" s="105" t="s">
        <v>84</v>
      </c>
      <c r="G18" s="105">
        <v>0.89700000000000002</v>
      </c>
      <c r="H18" s="105">
        <v>-1.583</v>
      </c>
      <c r="I18" s="105">
        <v>4.0259999999999998</v>
      </c>
      <c r="J18" s="105">
        <v>-0.19900000000000001</v>
      </c>
      <c r="K18" s="105" t="s">
        <v>84</v>
      </c>
      <c r="L18" s="105">
        <v>0</v>
      </c>
    </row>
    <row r="19" spans="1:12" x14ac:dyDescent="0.2">
      <c r="A19" s="9"/>
      <c r="B19" s="9"/>
      <c r="C19" s="9"/>
      <c r="D19" s="9"/>
      <c r="E19" s="9"/>
      <c r="F19" s="9"/>
      <c r="G19" s="9"/>
      <c r="H19" s="9"/>
      <c r="I19" s="9"/>
      <c r="J19" s="9"/>
      <c r="K19" s="9"/>
      <c r="L19" s="9"/>
    </row>
    <row r="20" spans="1:12" x14ac:dyDescent="0.2">
      <c r="A20" s="236" t="s">
        <v>368</v>
      </c>
      <c r="B20" s="237"/>
      <c r="C20" s="237"/>
      <c r="D20" s="237"/>
      <c r="E20" s="237"/>
      <c r="F20" s="237"/>
      <c r="G20" s="237"/>
      <c r="H20" s="237"/>
      <c r="I20" s="237"/>
      <c r="J20" s="237"/>
      <c r="K20" s="237"/>
      <c r="L20" s="237"/>
    </row>
    <row r="21" spans="1:12" x14ac:dyDescent="0.2">
      <c r="A21" s="236" t="s">
        <v>369</v>
      </c>
      <c r="B21" s="237"/>
      <c r="C21" s="237"/>
      <c r="D21" s="237"/>
      <c r="E21" s="237"/>
      <c r="F21" s="237"/>
      <c r="G21" s="237"/>
      <c r="H21" s="237"/>
      <c r="I21" s="237"/>
      <c r="J21" s="237"/>
      <c r="K21" s="237"/>
      <c r="L21" s="237"/>
    </row>
    <row r="22" spans="1:12" x14ac:dyDescent="0.2">
      <c r="A22" s="241" t="s">
        <v>370</v>
      </c>
      <c r="B22" s="242"/>
      <c r="C22" s="242"/>
      <c r="D22" s="242"/>
      <c r="E22" s="242"/>
      <c r="F22" s="242"/>
      <c r="G22" s="242"/>
      <c r="H22" s="242"/>
      <c r="I22" s="242"/>
      <c r="J22" s="242"/>
      <c r="K22" s="242"/>
      <c r="L22" s="242"/>
    </row>
    <row r="23" spans="1:12" x14ac:dyDescent="0.2">
      <c r="A23" s="236" t="s">
        <v>371</v>
      </c>
      <c r="B23" s="237"/>
      <c r="C23" s="237"/>
      <c r="D23" s="237"/>
      <c r="E23" s="237"/>
      <c r="F23" s="237"/>
      <c r="G23" s="237"/>
      <c r="H23" s="237"/>
      <c r="I23" s="237"/>
      <c r="J23" s="237"/>
      <c r="K23" s="237"/>
      <c r="L23" s="237"/>
    </row>
  </sheetData>
  <mergeCells count="6">
    <mergeCell ref="A23:L23"/>
    <mergeCell ref="A2:G2"/>
    <mergeCell ref="B6:L6"/>
    <mergeCell ref="A20:L20"/>
    <mergeCell ref="A21:L21"/>
    <mergeCell ref="A22:L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workbookViewId="0">
      <selection activeCell="D12" sqref="D12"/>
    </sheetView>
  </sheetViews>
  <sheetFormatPr defaultColWidth="8" defaultRowHeight="12" x14ac:dyDescent="0.2"/>
  <cols>
    <col min="1" max="1" width="35.140625" style="11" customWidth="1"/>
    <col min="2" max="2" width="21" style="11" customWidth="1"/>
    <col min="3" max="4" width="7.85546875" style="11" customWidth="1"/>
    <col min="5" max="5" width="7.140625" style="11" customWidth="1"/>
    <col min="6" max="12" width="9" style="11" customWidth="1"/>
    <col min="13" max="16" width="6.140625" style="11" customWidth="1"/>
    <col min="17" max="17" width="7.85546875" style="11" customWidth="1"/>
    <col min="18" max="19" width="6.85546875" style="11" customWidth="1"/>
    <col min="20" max="20" width="9" style="11" customWidth="1"/>
    <col min="21" max="21" width="2.140625" style="11" customWidth="1"/>
    <col min="22" max="16384" width="8" style="11"/>
  </cols>
  <sheetData>
    <row r="1" spans="1:21" ht="15.75" x14ac:dyDescent="0.25">
      <c r="A1" s="8" t="s">
        <v>300</v>
      </c>
      <c r="B1" s="8"/>
      <c r="C1" s="9"/>
      <c r="D1" s="9"/>
      <c r="E1" s="9"/>
      <c r="F1" s="9"/>
      <c r="G1" s="9"/>
      <c r="H1" s="9"/>
      <c r="I1" s="9"/>
      <c r="J1" s="9"/>
      <c r="K1" s="9"/>
      <c r="L1" s="9"/>
      <c r="M1" s="9"/>
      <c r="N1" s="9"/>
      <c r="O1" s="9"/>
      <c r="P1" s="9"/>
      <c r="Q1" s="9"/>
      <c r="R1" s="9"/>
      <c r="S1" s="9"/>
      <c r="T1" s="10" t="s">
        <v>36</v>
      </c>
      <c r="U1" s="9"/>
    </row>
    <row r="2" spans="1:21" ht="15.75" x14ac:dyDescent="0.25">
      <c r="A2" s="8" t="s">
        <v>301</v>
      </c>
      <c r="B2" s="8"/>
      <c r="C2" s="9"/>
      <c r="D2" s="9"/>
      <c r="E2" s="9"/>
      <c r="F2" s="9"/>
      <c r="G2" s="9"/>
      <c r="H2" s="9"/>
      <c r="I2" s="9"/>
      <c r="J2" s="9"/>
      <c r="K2" s="9"/>
      <c r="L2" s="9"/>
      <c r="M2" s="9"/>
      <c r="N2" s="9"/>
      <c r="O2" s="9"/>
      <c r="P2" s="9"/>
      <c r="Q2" s="9"/>
      <c r="R2" s="9"/>
      <c r="S2" s="9"/>
      <c r="T2" s="10" t="s">
        <v>38</v>
      </c>
      <c r="U2" s="9"/>
    </row>
    <row r="3" spans="1:21" ht="15.75" x14ac:dyDescent="0.25">
      <c r="A3" s="8" t="s">
        <v>39</v>
      </c>
      <c r="B3" s="8"/>
      <c r="C3" s="9"/>
      <c r="D3" s="9"/>
      <c r="E3" s="9"/>
      <c r="F3" s="9"/>
      <c r="G3" s="9"/>
      <c r="H3" s="9"/>
      <c r="I3" s="9"/>
      <c r="J3" s="9"/>
      <c r="K3" s="9"/>
      <c r="L3" s="9"/>
      <c r="M3" s="9"/>
      <c r="N3" s="9"/>
      <c r="O3" s="9"/>
      <c r="P3" s="9"/>
      <c r="Q3" s="9"/>
      <c r="R3" s="9"/>
      <c r="S3" s="9"/>
      <c r="T3" s="10" t="s">
        <v>41</v>
      </c>
      <c r="U3" s="9"/>
    </row>
    <row r="4" spans="1:21" ht="12" customHeight="1" x14ac:dyDescent="0.2">
      <c r="A4" s="9"/>
      <c r="B4" s="9"/>
      <c r="C4" s="9"/>
      <c r="D4" s="9"/>
      <c r="E4" s="9"/>
      <c r="F4" s="9"/>
      <c r="G4" s="9"/>
      <c r="H4" s="9"/>
      <c r="I4" s="9"/>
      <c r="J4" s="9"/>
      <c r="K4" s="9"/>
      <c r="L4" s="9"/>
      <c r="M4" s="9"/>
      <c r="N4" s="9"/>
      <c r="O4" s="9"/>
      <c r="P4" s="9"/>
      <c r="Q4" s="9"/>
      <c r="R4" s="9"/>
      <c r="S4" s="9"/>
      <c r="T4" s="13"/>
      <c r="U4" s="9"/>
    </row>
    <row r="5" spans="1:21" ht="30" customHeight="1" x14ac:dyDescent="0.2">
      <c r="A5" s="264" t="s">
        <v>42</v>
      </c>
      <c r="B5" s="265"/>
      <c r="C5" s="266" t="s">
        <v>43</v>
      </c>
      <c r="D5" s="267"/>
      <c r="E5" s="268"/>
      <c r="F5" s="266" t="s">
        <v>44</v>
      </c>
      <c r="G5" s="267"/>
      <c r="H5" s="267"/>
      <c r="I5" s="267"/>
      <c r="J5" s="267"/>
      <c r="K5" s="267"/>
      <c r="L5" s="268"/>
      <c r="M5" s="266" t="s">
        <v>45</v>
      </c>
      <c r="N5" s="267"/>
      <c r="O5" s="267"/>
      <c r="P5" s="267"/>
      <c r="Q5" s="267"/>
      <c r="R5" s="267"/>
      <c r="S5" s="268"/>
      <c r="T5" s="258" t="s">
        <v>302</v>
      </c>
      <c r="U5" s="9"/>
    </row>
    <row r="6" spans="1:21" ht="47.25" customHeight="1" x14ac:dyDescent="0.2">
      <c r="A6" s="269" t="s">
        <v>47</v>
      </c>
      <c r="B6" s="258" t="s">
        <v>48</v>
      </c>
      <c r="C6" s="258" t="s">
        <v>49</v>
      </c>
      <c r="D6" s="258" t="s">
        <v>50</v>
      </c>
      <c r="E6" s="254" t="s">
        <v>51</v>
      </c>
      <c r="F6" s="252" t="s">
        <v>52</v>
      </c>
      <c r="G6" s="253"/>
      <c r="H6" s="254"/>
      <c r="I6" s="258" t="s">
        <v>303</v>
      </c>
      <c r="J6" s="258" t="s">
        <v>304</v>
      </c>
      <c r="K6" s="252" t="s">
        <v>54</v>
      </c>
      <c r="L6" s="254"/>
      <c r="M6" s="252" t="s">
        <v>305</v>
      </c>
      <c r="N6" s="253"/>
      <c r="O6" s="254"/>
      <c r="P6" s="258" t="s">
        <v>306</v>
      </c>
      <c r="Q6" s="258" t="s">
        <v>307</v>
      </c>
      <c r="R6" s="252" t="s">
        <v>308</v>
      </c>
      <c r="S6" s="254"/>
      <c r="T6" s="259"/>
      <c r="U6" s="9"/>
    </row>
    <row r="7" spans="1:21" ht="12.75" customHeight="1" x14ac:dyDescent="0.2">
      <c r="A7" s="270"/>
      <c r="B7" s="259"/>
      <c r="C7" s="259"/>
      <c r="D7" s="259"/>
      <c r="E7" s="273"/>
      <c r="F7" s="255"/>
      <c r="G7" s="256"/>
      <c r="H7" s="257"/>
      <c r="I7" s="259"/>
      <c r="J7" s="259"/>
      <c r="K7" s="255"/>
      <c r="L7" s="257"/>
      <c r="M7" s="255"/>
      <c r="N7" s="256"/>
      <c r="O7" s="257"/>
      <c r="P7" s="259"/>
      <c r="Q7" s="259"/>
      <c r="R7" s="255"/>
      <c r="S7" s="257"/>
      <c r="T7" s="259"/>
      <c r="U7" s="9"/>
    </row>
    <row r="8" spans="1:21" ht="53.25" customHeight="1" x14ac:dyDescent="0.2">
      <c r="A8" s="270"/>
      <c r="B8" s="259"/>
      <c r="C8" s="259"/>
      <c r="D8" s="259"/>
      <c r="E8" s="273"/>
      <c r="F8" s="16" t="s">
        <v>58</v>
      </c>
      <c r="G8" s="16" t="s">
        <v>59</v>
      </c>
      <c r="H8" s="16" t="s">
        <v>60</v>
      </c>
      <c r="I8" s="260"/>
      <c r="J8" s="260"/>
      <c r="K8" s="79" t="s">
        <v>309</v>
      </c>
      <c r="L8" s="81" t="s">
        <v>62</v>
      </c>
      <c r="M8" s="16" t="s">
        <v>58</v>
      </c>
      <c r="N8" s="16" t="s">
        <v>59</v>
      </c>
      <c r="O8" s="16" t="s">
        <v>60</v>
      </c>
      <c r="P8" s="260"/>
      <c r="Q8" s="260"/>
      <c r="R8" s="79" t="s">
        <v>61</v>
      </c>
      <c r="S8" s="81" t="s">
        <v>62</v>
      </c>
      <c r="T8" s="260"/>
      <c r="U8" s="9"/>
    </row>
    <row r="9" spans="1:21" ht="21.75" customHeight="1" thickBot="1" x14ac:dyDescent="0.25">
      <c r="A9" s="271"/>
      <c r="B9" s="272"/>
      <c r="C9" s="272"/>
      <c r="D9" s="272"/>
      <c r="E9" s="274"/>
      <c r="F9" s="261" t="s">
        <v>63</v>
      </c>
      <c r="G9" s="262"/>
      <c r="H9" s="262"/>
      <c r="I9" s="262"/>
      <c r="J9" s="262"/>
      <c r="K9" s="262"/>
      <c r="L9" s="263"/>
      <c r="M9" s="261" t="s">
        <v>64</v>
      </c>
      <c r="N9" s="262"/>
      <c r="O9" s="262"/>
      <c r="P9" s="262"/>
      <c r="Q9" s="262"/>
      <c r="R9" s="262"/>
      <c r="S9" s="263"/>
      <c r="T9" s="19" t="s">
        <v>65</v>
      </c>
      <c r="U9" s="9"/>
    </row>
    <row r="10" spans="1:21" ht="12.75" thickTop="1" x14ac:dyDescent="0.2">
      <c r="A10" s="20" t="s">
        <v>310</v>
      </c>
      <c r="B10" s="21" t="s">
        <v>67</v>
      </c>
      <c r="C10" s="22">
        <v>21852.736000000001</v>
      </c>
      <c r="D10" s="22">
        <v>15894.144</v>
      </c>
      <c r="E10" s="22">
        <v>5958.5919999999996</v>
      </c>
      <c r="F10" s="22">
        <v>1.7321942662008101</v>
      </c>
      <c r="G10" s="22">
        <v>-1.46173751424078</v>
      </c>
      <c r="H10" s="22">
        <v>0.27045675196003</v>
      </c>
      <c r="I10" s="22" t="s">
        <v>311</v>
      </c>
      <c r="J10" s="22" t="s">
        <v>311</v>
      </c>
      <c r="K10" s="22">
        <v>0.13622054764321001</v>
      </c>
      <c r="L10" s="22">
        <v>-0.18946657196868</v>
      </c>
      <c r="M10" s="22">
        <v>37853.184000000001</v>
      </c>
      <c r="N10" s="22">
        <v>-31942.964</v>
      </c>
      <c r="O10" s="22">
        <v>5910.22</v>
      </c>
      <c r="P10" s="22" t="s">
        <v>311</v>
      </c>
      <c r="Q10" s="22" t="s">
        <v>311</v>
      </c>
      <c r="R10" s="22">
        <v>2165.1089999999999</v>
      </c>
      <c r="S10" s="22">
        <v>-1128.954</v>
      </c>
      <c r="T10" s="22">
        <v>-25470.04166666669</v>
      </c>
      <c r="U10" s="88"/>
    </row>
    <row r="11" spans="1:21" x14ac:dyDescent="0.2">
      <c r="A11" s="27" t="s">
        <v>312</v>
      </c>
      <c r="B11" s="21"/>
      <c r="C11" s="22">
        <v>21760.48</v>
      </c>
      <c r="D11" s="22">
        <v>15841.472</v>
      </c>
      <c r="E11" s="22">
        <v>5919.0079999999998</v>
      </c>
      <c r="F11" s="22">
        <v>1.73360100512489</v>
      </c>
      <c r="G11" s="22">
        <v>-1.46678097174327</v>
      </c>
      <c r="H11" s="22">
        <v>0.26682003338162003</v>
      </c>
      <c r="I11" s="22" t="s">
        <v>70</v>
      </c>
      <c r="J11" s="22" t="s">
        <v>70</v>
      </c>
      <c r="K11" s="22">
        <v>0.13644287601555999</v>
      </c>
      <c r="L11" s="22">
        <v>-0.18277741810789999</v>
      </c>
      <c r="M11" s="22">
        <v>37723.99</v>
      </c>
      <c r="N11" s="22">
        <v>-31917.858</v>
      </c>
      <c r="O11" s="22">
        <v>5806.1319999999996</v>
      </c>
      <c r="P11" s="22" t="s">
        <v>70</v>
      </c>
      <c r="Q11" s="22" t="s">
        <v>70</v>
      </c>
      <c r="R11" s="22">
        <v>2161.4560000000001</v>
      </c>
      <c r="S11" s="22">
        <v>-1081.8610000000001</v>
      </c>
      <c r="T11" s="22">
        <v>-25247.66566666669</v>
      </c>
      <c r="U11" s="9"/>
    </row>
    <row r="12" spans="1:21" x14ac:dyDescent="0.2">
      <c r="A12" s="24" t="s">
        <v>313</v>
      </c>
      <c r="B12" s="76" t="s">
        <v>313</v>
      </c>
      <c r="C12" s="22">
        <v>21760.48</v>
      </c>
      <c r="D12" s="76">
        <v>15841.472</v>
      </c>
      <c r="E12" s="76">
        <v>5919.0079999999998</v>
      </c>
      <c r="F12" s="22">
        <v>1.73360100512489</v>
      </c>
      <c r="G12" s="22">
        <v>-1.46678097174327</v>
      </c>
      <c r="H12" s="22">
        <v>0.26682003338162003</v>
      </c>
      <c r="I12" s="22" t="s">
        <v>70</v>
      </c>
      <c r="J12" s="22" t="s">
        <v>70</v>
      </c>
      <c r="K12" s="22">
        <v>0.13644287601555999</v>
      </c>
      <c r="L12" s="22">
        <v>-0.18277741810789999</v>
      </c>
      <c r="M12" s="76">
        <v>37723.99</v>
      </c>
      <c r="N12" s="76">
        <v>-31917.858</v>
      </c>
      <c r="O12" s="22">
        <v>5806.1319999999996</v>
      </c>
      <c r="P12" s="76" t="s">
        <v>70</v>
      </c>
      <c r="Q12" s="76" t="s">
        <v>70</v>
      </c>
      <c r="R12" s="76">
        <v>2161.4560000000001</v>
      </c>
      <c r="S12" s="76">
        <v>-1081.8610000000001</v>
      </c>
      <c r="T12" s="22">
        <v>-25247.66566666669</v>
      </c>
      <c r="U12" s="9"/>
    </row>
    <row r="13" spans="1:21" ht="13.5" x14ac:dyDescent="0.2">
      <c r="A13" s="26" t="s">
        <v>314</v>
      </c>
      <c r="B13" s="21" t="s">
        <v>67</v>
      </c>
      <c r="C13" s="22">
        <v>92.256</v>
      </c>
      <c r="D13" s="22">
        <v>52.671999999999997</v>
      </c>
      <c r="E13" s="22">
        <v>39.584000000000003</v>
      </c>
      <c r="F13" s="22">
        <v>1.4003858827610101</v>
      </c>
      <c r="G13" s="22">
        <v>-0.27213406174124</v>
      </c>
      <c r="H13" s="22">
        <v>1.1282518210197701</v>
      </c>
      <c r="I13" s="22" t="s">
        <v>69</v>
      </c>
      <c r="J13" s="22" t="s">
        <v>311</v>
      </c>
      <c r="K13" s="22">
        <v>6.9353736330500002E-2</v>
      </c>
      <c r="L13" s="22">
        <v>-1.1896978577202899</v>
      </c>
      <c r="M13" s="22">
        <v>129.19399999999999</v>
      </c>
      <c r="N13" s="22">
        <v>-25.106000000000002</v>
      </c>
      <c r="O13" s="22">
        <v>104.08799999999999</v>
      </c>
      <c r="P13" s="22" t="s">
        <v>69</v>
      </c>
      <c r="Q13" s="22" t="s">
        <v>311</v>
      </c>
      <c r="R13" s="22">
        <v>3.653</v>
      </c>
      <c r="S13" s="22">
        <v>-47.093000000000004</v>
      </c>
      <c r="T13" s="22">
        <v>-222.3760000000002</v>
      </c>
      <c r="U13" s="9"/>
    </row>
    <row r="14" spans="1:21" x14ac:dyDescent="0.2">
      <c r="A14" s="27" t="s">
        <v>315</v>
      </c>
      <c r="B14" s="21"/>
      <c r="C14" s="22">
        <v>15.063000000000001</v>
      </c>
      <c r="D14" s="22">
        <v>13.18</v>
      </c>
      <c r="E14" s="22">
        <v>1.883</v>
      </c>
      <c r="F14" s="22">
        <v>2.0910841133904299</v>
      </c>
      <c r="G14" s="22">
        <v>-1.07342494854943</v>
      </c>
      <c r="H14" s="22">
        <v>1.0176591648410001</v>
      </c>
      <c r="I14" s="22" t="s">
        <v>69</v>
      </c>
      <c r="J14" s="22" t="s">
        <v>70</v>
      </c>
      <c r="K14" s="22">
        <v>0.12966616084977001</v>
      </c>
      <c r="L14" s="22">
        <v>-4.7769516728624497</v>
      </c>
      <c r="M14" s="22">
        <v>31.498000000000001</v>
      </c>
      <c r="N14" s="22">
        <v>-16.169</v>
      </c>
      <c r="O14" s="22">
        <v>15.329000000000001</v>
      </c>
      <c r="P14" s="22" t="s">
        <v>69</v>
      </c>
      <c r="Q14" s="22" t="s">
        <v>70</v>
      </c>
      <c r="R14" s="22">
        <v>1.7090000000000001</v>
      </c>
      <c r="S14" s="22">
        <v>-8.9949999999999992</v>
      </c>
      <c r="T14" s="22">
        <v>-29.491000000000032</v>
      </c>
      <c r="U14" s="9"/>
    </row>
    <row r="15" spans="1:21" x14ac:dyDescent="0.2">
      <c r="A15" s="24" t="s">
        <v>316</v>
      </c>
      <c r="B15" s="76" t="s">
        <v>316</v>
      </c>
      <c r="C15" s="22">
        <v>15.063000000000001</v>
      </c>
      <c r="D15" s="76">
        <v>13.18</v>
      </c>
      <c r="E15" s="76">
        <v>1.883</v>
      </c>
      <c r="F15" s="22">
        <v>2.0910841133904299</v>
      </c>
      <c r="G15" s="22">
        <v>-1.07342494854943</v>
      </c>
      <c r="H15" s="22">
        <v>1.0176591648410001</v>
      </c>
      <c r="I15" s="22" t="s">
        <v>69</v>
      </c>
      <c r="J15" s="22" t="s">
        <v>70</v>
      </c>
      <c r="K15" s="22">
        <v>0.12966616084977001</v>
      </c>
      <c r="L15" s="22">
        <v>-4.7769516728624497</v>
      </c>
      <c r="M15" s="76">
        <v>31.498000000000001</v>
      </c>
      <c r="N15" s="76">
        <v>-16.169</v>
      </c>
      <c r="O15" s="22">
        <v>15.329000000000001</v>
      </c>
      <c r="P15" s="76" t="s">
        <v>69</v>
      </c>
      <c r="Q15" s="76" t="s">
        <v>70</v>
      </c>
      <c r="R15" s="76">
        <v>1.7090000000000001</v>
      </c>
      <c r="S15" s="76">
        <v>-8.9949999999999992</v>
      </c>
      <c r="T15" s="22">
        <v>-29.491000000000032</v>
      </c>
      <c r="U15" s="9"/>
    </row>
    <row r="16" spans="1:21" x14ac:dyDescent="0.2">
      <c r="A16" s="27" t="s">
        <v>317</v>
      </c>
      <c r="B16" s="21"/>
      <c r="C16" s="22">
        <v>37.223999999999997</v>
      </c>
      <c r="D16" s="22">
        <v>24.023</v>
      </c>
      <c r="E16" s="22">
        <v>13.201000000000001</v>
      </c>
      <c r="F16" s="22">
        <v>1.8020363206533401</v>
      </c>
      <c r="G16" s="22">
        <v>-0.24008704061896</v>
      </c>
      <c r="H16" s="22">
        <v>1.5619492800343899</v>
      </c>
      <c r="I16" s="22" t="s">
        <v>69</v>
      </c>
      <c r="J16" s="22" t="s">
        <v>70</v>
      </c>
      <c r="K16" s="22">
        <v>-2.0938267493649999E-2</v>
      </c>
      <c r="L16" s="22">
        <v>-1.53851980910537</v>
      </c>
      <c r="M16" s="22">
        <v>67.078999999999994</v>
      </c>
      <c r="N16" s="22">
        <v>-8.9369999999999994</v>
      </c>
      <c r="O16" s="22">
        <v>58.142000000000003</v>
      </c>
      <c r="P16" s="22" t="s">
        <v>69</v>
      </c>
      <c r="Q16" s="22" t="s">
        <v>70</v>
      </c>
      <c r="R16" s="22">
        <v>-0.503</v>
      </c>
      <c r="S16" s="22">
        <v>-20.309999999999999</v>
      </c>
      <c r="T16" s="22">
        <v>-136.87300000000013</v>
      </c>
      <c r="U16" s="9"/>
    </row>
    <row r="17" spans="1:21" x14ac:dyDescent="0.2">
      <c r="A17" s="24" t="s">
        <v>318</v>
      </c>
      <c r="B17" s="76" t="s">
        <v>318</v>
      </c>
      <c r="C17" s="22">
        <v>37.223999999999997</v>
      </c>
      <c r="D17" s="76">
        <v>24.023</v>
      </c>
      <c r="E17" s="76">
        <v>13.201000000000001</v>
      </c>
      <c r="F17" s="22">
        <v>1.8020363206533401</v>
      </c>
      <c r="G17" s="22">
        <v>-0.24008704061896</v>
      </c>
      <c r="H17" s="22">
        <v>1.5619492800343899</v>
      </c>
      <c r="I17" s="22" t="s">
        <v>69</v>
      </c>
      <c r="J17" s="22" t="s">
        <v>70</v>
      </c>
      <c r="K17" s="22">
        <v>-2.0938267493649999E-2</v>
      </c>
      <c r="L17" s="22">
        <v>-1.53851980910537</v>
      </c>
      <c r="M17" s="76">
        <v>67.078999999999994</v>
      </c>
      <c r="N17" s="76">
        <v>-8.9369999999999994</v>
      </c>
      <c r="O17" s="22">
        <v>58.142000000000003</v>
      </c>
      <c r="P17" s="76" t="s">
        <v>69</v>
      </c>
      <c r="Q17" s="76" t="s">
        <v>70</v>
      </c>
      <c r="R17" s="76">
        <v>-0.503</v>
      </c>
      <c r="S17" s="76">
        <v>-20.309999999999999</v>
      </c>
      <c r="T17" s="22">
        <v>-136.87300000000013</v>
      </c>
      <c r="U17" s="9"/>
    </row>
    <row r="18" spans="1:21" x14ac:dyDescent="0.2">
      <c r="A18" s="27" t="s">
        <v>319</v>
      </c>
      <c r="B18" s="21"/>
      <c r="C18" s="22">
        <v>22.952000000000002</v>
      </c>
      <c r="D18" s="22">
        <v>0.66700000000000004</v>
      </c>
      <c r="E18" s="22">
        <v>22.285</v>
      </c>
      <c r="F18" s="22">
        <v>0.61924886720112005</v>
      </c>
      <c r="G18" s="22" t="s">
        <v>69</v>
      </c>
      <c r="H18" s="22">
        <v>0.61924886720112005</v>
      </c>
      <c r="I18" s="22" t="s">
        <v>69</v>
      </c>
      <c r="J18" s="22" t="s">
        <v>70</v>
      </c>
      <c r="K18" s="22">
        <v>-0.68065967016492002</v>
      </c>
      <c r="L18" s="22">
        <v>-0.75337671079200996</v>
      </c>
      <c r="M18" s="22">
        <v>14.212999999999999</v>
      </c>
      <c r="N18" s="22" t="s">
        <v>69</v>
      </c>
      <c r="O18" s="22">
        <v>14.212999999999999</v>
      </c>
      <c r="P18" s="22" t="s">
        <v>69</v>
      </c>
      <c r="Q18" s="22" t="s">
        <v>70</v>
      </c>
      <c r="R18" s="22">
        <v>-0.45400000000000001</v>
      </c>
      <c r="S18" s="22">
        <v>-16.789000000000001</v>
      </c>
      <c r="T18" s="22">
        <v>11.11000000000001</v>
      </c>
      <c r="U18" s="9"/>
    </row>
    <row r="19" spans="1:21" x14ac:dyDescent="0.2">
      <c r="A19" s="24" t="s">
        <v>320</v>
      </c>
      <c r="B19" s="76" t="s">
        <v>320</v>
      </c>
      <c r="C19" s="22">
        <v>3.7639999999999998</v>
      </c>
      <c r="D19" s="76">
        <v>0.57799999999999996</v>
      </c>
      <c r="E19" s="76">
        <v>3.1859999999999999</v>
      </c>
      <c r="F19" s="22">
        <v>0.91950053134962995</v>
      </c>
      <c r="G19" s="22" t="s">
        <v>69</v>
      </c>
      <c r="H19" s="22">
        <v>0.91950053134962995</v>
      </c>
      <c r="I19" s="22" t="s">
        <v>69</v>
      </c>
      <c r="J19" s="22" t="s">
        <v>70</v>
      </c>
      <c r="K19" s="22">
        <v>-0.78546712802768004</v>
      </c>
      <c r="L19" s="22">
        <v>-1.1208411801632101</v>
      </c>
      <c r="M19" s="76">
        <v>3.4609999999999999</v>
      </c>
      <c r="N19" s="76" t="s">
        <v>69</v>
      </c>
      <c r="O19" s="22">
        <v>3.4609999999999999</v>
      </c>
      <c r="P19" s="76" t="s">
        <v>69</v>
      </c>
      <c r="Q19" s="76" t="s">
        <v>70</v>
      </c>
      <c r="R19" s="76">
        <v>-0.45400000000000001</v>
      </c>
      <c r="S19" s="76">
        <v>-3.5710000000000002</v>
      </c>
      <c r="T19" s="22">
        <v>2.0680000000000001</v>
      </c>
      <c r="U19" s="9"/>
    </row>
    <row r="20" spans="1:21" x14ac:dyDescent="0.2">
      <c r="A20" s="24" t="s">
        <v>321</v>
      </c>
      <c r="B20" s="76" t="s">
        <v>321</v>
      </c>
      <c r="C20" s="22">
        <v>19.187999999999999</v>
      </c>
      <c r="D20" s="76">
        <v>8.8999999999999996E-2</v>
      </c>
      <c r="E20" s="76">
        <v>19.099</v>
      </c>
      <c r="F20" s="22">
        <v>0.56035021888680003</v>
      </c>
      <c r="G20" s="22" t="s">
        <v>69</v>
      </c>
      <c r="H20" s="22">
        <v>0.56035021888680003</v>
      </c>
      <c r="I20" s="22" t="s">
        <v>69</v>
      </c>
      <c r="J20" s="22" t="s">
        <v>70</v>
      </c>
      <c r="K20" s="22" t="s">
        <v>69</v>
      </c>
      <c r="L20" s="22">
        <v>-0.69207811927326002</v>
      </c>
      <c r="M20" s="76">
        <v>10.752000000000001</v>
      </c>
      <c r="N20" s="76" t="s">
        <v>69</v>
      </c>
      <c r="O20" s="22">
        <v>10.752000000000001</v>
      </c>
      <c r="P20" s="76" t="s">
        <v>69</v>
      </c>
      <c r="Q20" s="76" t="s">
        <v>70</v>
      </c>
      <c r="R20" s="76" t="s">
        <v>69</v>
      </c>
      <c r="S20" s="76">
        <v>-13.218</v>
      </c>
      <c r="T20" s="22">
        <v>9.0420000000000105</v>
      </c>
    </row>
    <row r="21" spans="1:21" x14ac:dyDescent="0.2">
      <c r="A21" s="23" t="s">
        <v>322</v>
      </c>
      <c r="B21" s="21"/>
      <c r="C21" s="22">
        <v>16.41</v>
      </c>
      <c r="D21" s="22">
        <v>14.195</v>
      </c>
      <c r="E21" s="22">
        <v>2.2149999999999999</v>
      </c>
      <c r="F21" s="22">
        <v>0.94820231566117996</v>
      </c>
      <c r="G21" s="22" t="s">
        <v>69</v>
      </c>
      <c r="H21" s="22">
        <v>0.94820231566117996</v>
      </c>
      <c r="I21" s="22" t="s">
        <v>69</v>
      </c>
      <c r="J21" s="22" t="s">
        <v>70</v>
      </c>
      <c r="K21" s="22">
        <v>0.20436773511799999</v>
      </c>
      <c r="L21" s="22">
        <v>-0.4510158013544</v>
      </c>
      <c r="M21" s="22">
        <v>15.56</v>
      </c>
      <c r="N21" s="22" t="s">
        <v>69</v>
      </c>
      <c r="O21" s="22">
        <v>15.56</v>
      </c>
      <c r="P21" s="22" t="s">
        <v>69</v>
      </c>
      <c r="Q21" s="22" t="s">
        <v>70</v>
      </c>
      <c r="R21" s="22">
        <v>2.9009999999999998</v>
      </c>
      <c r="S21" s="22">
        <v>-0.999</v>
      </c>
      <c r="T21" s="22">
        <v>-64.027333333333388</v>
      </c>
      <c r="U21" s="9"/>
    </row>
    <row r="22" spans="1:21" x14ac:dyDescent="0.2">
      <c r="A22" s="24" t="s">
        <v>323</v>
      </c>
      <c r="B22" s="76" t="s">
        <v>323</v>
      </c>
      <c r="C22" s="22">
        <v>16.41</v>
      </c>
      <c r="D22" s="76">
        <v>14.195</v>
      </c>
      <c r="E22" s="76">
        <v>2.2149999999999999</v>
      </c>
      <c r="F22" s="22">
        <v>0.94820231566117996</v>
      </c>
      <c r="G22" s="22" t="s">
        <v>69</v>
      </c>
      <c r="H22" s="22">
        <v>0.94820231566117996</v>
      </c>
      <c r="I22" s="22" t="s">
        <v>69</v>
      </c>
      <c r="J22" s="22" t="s">
        <v>70</v>
      </c>
      <c r="K22" s="22">
        <v>0.20436773511799999</v>
      </c>
      <c r="L22" s="22">
        <v>-0.4510158013544</v>
      </c>
      <c r="M22" s="76">
        <v>15.56</v>
      </c>
      <c r="N22" s="76" t="s">
        <v>69</v>
      </c>
      <c r="O22" s="22">
        <v>15.56</v>
      </c>
      <c r="P22" s="76" t="s">
        <v>69</v>
      </c>
      <c r="Q22" s="76" t="s">
        <v>70</v>
      </c>
      <c r="R22" s="76">
        <v>2.9009999999999998</v>
      </c>
      <c r="S22" s="76">
        <v>-0.999</v>
      </c>
      <c r="T22" s="22">
        <v>-64.027333333333388</v>
      </c>
      <c r="U22" s="9"/>
    </row>
    <row r="23" spans="1:21" x14ac:dyDescent="0.2">
      <c r="A23" s="23" t="s">
        <v>324</v>
      </c>
      <c r="B23" s="21"/>
      <c r="C23" s="22">
        <v>0.60699999999999998</v>
      </c>
      <c r="D23" s="22">
        <v>0.60699999999999998</v>
      </c>
      <c r="E23" s="22" t="s">
        <v>84</v>
      </c>
      <c r="F23" s="22">
        <v>1.39044481054366</v>
      </c>
      <c r="G23" s="22" t="s">
        <v>69</v>
      </c>
      <c r="H23" s="22">
        <v>1.39044481054366</v>
      </c>
      <c r="I23" s="22" t="s">
        <v>69</v>
      </c>
      <c r="J23" s="22" t="s">
        <v>69</v>
      </c>
      <c r="K23" s="22" t="s">
        <v>69</v>
      </c>
      <c r="L23" s="22" t="s">
        <v>69</v>
      </c>
      <c r="M23" s="22">
        <v>0.84399999999999997</v>
      </c>
      <c r="N23" s="22" t="s">
        <v>69</v>
      </c>
      <c r="O23" s="22">
        <v>0.84399999999999997</v>
      </c>
      <c r="P23" s="22" t="s">
        <v>69</v>
      </c>
      <c r="Q23" s="22" t="s">
        <v>69</v>
      </c>
      <c r="R23" s="22" t="s">
        <v>69</v>
      </c>
      <c r="S23" s="22" t="s">
        <v>69</v>
      </c>
      <c r="T23" s="22">
        <v>-3.09466666666667</v>
      </c>
      <c r="U23" s="9"/>
    </row>
    <row r="24" spans="1:21" x14ac:dyDescent="0.2">
      <c r="A24" s="24" t="s">
        <v>325</v>
      </c>
      <c r="B24" s="76" t="s">
        <v>325</v>
      </c>
      <c r="C24" s="22">
        <v>0.60699999999999998</v>
      </c>
      <c r="D24" s="76">
        <v>0.60699999999999998</v>
      </c>
      <c r="E24" s="76" t="s">
        <v>84</v>
      </c>
      <c r="F24" s="22">
        <v>1.39044481054366</v>
      </c>
      <c r="G24" s="22" t="s">
        <v>69</v>
      </c>
      <c r="H24" s="22">
        <v>1.39044481054366</v>
      </c>
      <c r="I24" s="22" t="s">
        <v>69</v>
      </c>
      <c r="J24" s="22" t="s">
        <v>69</v>
      </c>
      <c r="K24" s="22" t="s">
        <v>69</v>
      </c>
      <c r="L24" s="22" t="s">
        <v>69</v>
      </c>
      <c r="M24" s="76">
        <v>0.84399999999999997</v>
      </c>
      <c r="N24" s="76" t="s">
        <v>69</v>
      </c>
      <c r="O24" s="22">
        <v>0.84399999999999997</v>
      </c>
      <c r="P24" s="76" t="s">
        <v>69</v>
      </c>
      <c r="Q24" s="76" t="s">
        <v>69</v>
      </c>
      <c r="R24" s="76" t="s">
        <v>69</v>
      </c>
      <c r="S24" s="76" t="s">
        <v>69</v>
      </c>
      <c r="T24" s="22">
        <v>-3.09466666666667</v>
      </c>
      <c r="U24" s="9"/>
    </row>
    <row r="25" spans="1:21" ht="12" customHeight="1" x14ac:dyDescent="0.2">
      <c r="A25" s="89" t="s">
        <v>86</v>
      </c>
      <c r="B25" s="13"/>
      <c r="C25" s="13"/>
      <c r="D25" s="13"/>
      <c r="E25" s="13"/>
      <c r="F25" s="13"/>
      <c r="G25" s="13"/>
      <c r="H25" s="13"/>
      <c r="I25" s="13"/>
      <c r="J25" s="13"/>
      <c r="K25" s="13"/>
      <c r="L25" s="13"/>
      <c r="M25" s="13"/>
      <c r="N25" s="13"/>
      <c r="O25" s="13"/>
      <c r="P25" s="13"/>
      <c r="Q25" s="13"/>
      <c r="R25" s="13"/>
      <c r="S25" s="13"/>
      <c r="T25" s="13"/>
      <c r="U25" s="9"/>
    </row>
    <row r="26" spans="1:21" ht="29.25" customHeight="1" x14ac:dyDescent="0.2">
      <c r="A26" s="251" t="s">
        <v>326</v>
      </c>
      <c r="B26" s="251"/>
      <c r="C26" s="251"/>
      <c r="D26" s="251"/>
      <c r="E26" s="251"/>
      <c r="F26" s="251"/>
      <c r="G26" s="251"/>
      <c r="H26" s="251"/>
      <c r="I26" s="251"/>
      <c r="J26" s="251"/>
      <c r="K26" s="251"/>
      <c r="L26" s="251"/>
      <c r="M26" s="251"/>
      <c r="N26" s="251"/>
      <c r="O26" s="251"/>
      <c r="P26" s="251"/>
      <c r="Q26" s="251"/>
      <c r="R26" s="251"/>
      <c r="S26" s="251"/>
      <c r="T26" s="251"/>
      <c r="U26" s="9"/>
    </row>
    <row r="27" spans="1:21" ht="15" customHeight="1" x14ac:dyDescent="0.2">
      <c r="A27" s="249" t="s">
        <v>327</v>
      </c>
      <c r="B27" s="249"/>
      <c r="C27" s="249"/>
      <c r="D27" s="249"/>
      <c r="E27" s="249"/>
      <c r="F27" s="249"/>
      <c r="G27" s="249"/>
      <c r="H27" s="249"/>
      <c r="I27" s="249"/>
      <c r="J27" s="249"/>
      <c r="K27" s="249"/>
      <c r="L27" s="249"/>
      <c r="M27" s="249"/>
      <c r="N27" s="249"/>
      <c r="O27" s="249"/>
      <c r="P27" s="249"/>
      <c r="Q27" s="249"/>
      <c r="R27" s="249"/>
      <c r="S27" s="249"/>
      <c r="T27" s="249"/>
      <c r="U27" s="9"/>
    </row>
    <row r="28" spans="1:21" ht="15" customHeight="1" x14ac:dyDescent="0.2">
      <c r="A28" s="249" t="s">
        <v>89</v>
      </c>
      <c r="B28" s="249"/>
      <c r="C28" s="249"/>
      <c r="D28" s="249"/>
      <c r="E28" s="249"/>
      <c r="F28" s="249"/>
      <c r="G28" s="249"/>
      <c r="H28" s="249"/>
      <c r="I28" s="249"/>
      <c r="J28" s="249"/>
      <c r="K28" s="249"/>
      <c r="L28" s="249"/>
      <c r="M28" s="249"/>
      <c r="N28" s="249"/>
      <c r="O28" s="249"/>
      <c r="P28" s="249"/>
      <c r="Q28" s="249"/>
      <c r="R28" s="249"/>
      <c r="S28" s="249"/>
      <c r="T28" s="249"/>
      <c r="U28" s="9"/>
    </row>
    <row r="29" spans="1:21" ht="15" customHeight="1" x14ac:dyDescent="0.2">
      <c r="A29" s="249" t="s">
        <v>328</v>
      </c>
      <c r="B29" s="249"/>
      <c r="C29" s="249"/>
      <c r="D29" s="249"/>
      <c r="E29" s="249"/>
      <c r="F29" s="249"/>
      <c r="G29" s="249"/>
      <c r="H29" s="249"/>
      <c r="I29" s="249"/>
      <c r="J29" s="249"/>
      <c r="K29" s="249"/>
      <c r="L29" s="249"/>
      <c r="M29" s="249"/>
      <c r="N29" s="249"/>
      <c r="O29" s="249"/>
      <c r="P29" s="249"/>
      <c r="Q29" s="249"/>
      <c r="R29" s="249"/>
      <c r="S29" s="249"/>
      <c r="T29" s="60"/>
      <c r="U29" s="9"/>
    </row>
    <row r="30" spans="1:21" ht="15" customHeight="1" x14ac:dyDescent="0.2">
      <c r="A30" s="250" t="s">
        <v>329</v>
      </c>
      <c r="B30" s="250"/>
      <c r="C30" s="250"/>
      <c r="D30" s="250"/>
      <c r="E30" s="250"/>
      <c r="F30" s="250"/>
      <c r="G30" s="250"/>
      <c r="H30" s="250"/>
      <c r="I30" s="250"/>
      <c r="J30" s="250"/>
      <c r="K30" s="250"/>
      <c r="L30" s="250"/>
      <c r="M30" s="250"/>
      <c r="N30" s="250"/>
      <c r="O30" s="250"/>
      <c r="P30" s="250"/>
      <c r="Q30" s="250"/>
      <c r="R30" s="250"/>
      <c r="S30" s="250"/>
      <c r="T30" s="250"/>
      <c r="U30" s="9"/>
    </row>
    <row r="31" spans="1:21" ht="15" customHeight="1" x14ac:dyDescent="0.2">
      <c r="A31" s="250" t="s">
        <v>330</v>
      </c>
      <c r="B31" s="250"/>
      <c r="C31" s="250"/>
      <c r="D31" s="250"/>
      <c r="E31" s="250"/>
      <c r="F31" s="250"/>
      <c r="G31" s="250"/>
      <c r="H31" s="250"/>
      <c r="I31" s="250"/>
      <c r="J31" s="250"/>
      <c r="K31" s="250"/>
      <c r="L31" s="250"/>
      <c r="M31" s="250"/>
      <c r="N31" s="250"/>
      <c r="O31" s="250"/>
      <c r="P31" s="250"/>
      <c r="Q31" s="250"/>
      <c r="R31" s="250"/>
      <c r="S31" s="250"/>
      <c r="T31" s="250"/>
      <c r="U31" s="9"/>
    </row>
    <row r="32" spans="1:21" ht="13.5" x14ac:dyDescent="0.2">
      <c r="A32" s="251" t="s">
        <v>331</v>
      </c>
      <c r="B32" s="251"/>
      <c r="C32" s="237"/>
      <c r="D32" s="237"/>
      <c r="E32" s="237"/>
      <c r="F32" s="237"/>
      <c r="G32" s="237"/>
      <c r="H32" s="237"/>
      <c r="I32" s="237"/>
      <c r="J32" s="237"/>
      <c r="K32" s="237"/>
      <c r="L32" s="237"/>
      <c r="M32" s="237"/>
      <c r="N32" s="237"/>
      <c r="O32" s="237"/>
      <c r="P32" s="237"/>
      <c r="Q32" s="237"/>
      <c r="R32" s="237"/>
      <c r="S32" s="237"/>
      <c r="T32" s="237"/>
      <c r="U32" s="9"/>
    </row>
    <row r="33" spans="1:21" ht="13.5" x14ac:dyDescent="0.2">
      <c r="A33" s="250" t="s">
        <v>332</v>
      </c>
      <c r="B33" s="250"/>
      <c r="C33" s="250"/>
      <c r="D33" s="250"/>
      <c r="E33" s="250"/>
      <c r="F33" s="250"/>
      <c r="G33" s="250"/>
      <c r="H33" s="250"/>
      <c r="I33" s="250"/>
      <c r="J33" s="250"/>
      <c r="K33" s="250"/>
      <c r="L33" s="250"/>
      <c r="M33" s="250"/>
      <c r="N33" s="250"/>
      <c r="O33" s="250"/>
      <c r="P33" s="250"/>
      <c r="Q33" s="250"/>
      <c r="R33" s="250"/>
      <c r="S33" s="250"/>
      <c r="T33" s="250"/>
      <c r="U33" s="9"/>
    </row>
    <row r="34" spans="1:21" x14ac:dyDescent="0.2">
      <c r="A34" s="9"/>
      <c r="B34" s="9"/>
      <c r="C34" s="13"/>
      <c r="D34" s="13"/>
      <c r="E34" s="13"/>
      <c r="F34" s="13"/>
      <c r="G34" s="13"/>
      <c r="H34" s="13"/>
      <c r="I34" s="13"/>
      <c r="J34" s="13"/>
      <c r="K34" s="13"/>
      <c r="L34" s="13"/>
      <c r="M34" s="13"/>
      <c r="N34" s="13"/>
      <c r="O34" s="13"/>
      <c r="P34" s="13"/>
      <c r="Q34" s="13"/>
      <c r="R34" s="13"/>
      <c r="S34" s="13"/>
      <c r="T34" s="13"/>
      <c r="U34" s="9"/>
    </row>
    <row r="35" spans="1:21" ht="15.75" customHeight="1" x14ac:dyDescent="0.2">
      <c r="A35" s="32" t="s">
        <v>97</v>
      </c>
      <c r="B35" s="90"/>
      <c r="C35" s="33"/>
      <c r="D35" s="33"/>
      <c r="E35" s="33"/>
      <c r="F35" s="33"/>
      <c r="G35" s="33"/>
      <c r="H35" s="33"/>
      <c r="I35" s="33"/>
      <c r="J35" s="33"/>
      <c r="K35" s="33"/>
      <c r="L35" s="33"/>
      <c r="M35" s="33"/>
      <c r="N35" s="33"/>
      <c r="O35" s="33"/>
      <c r="P35" s="33"/>
      <c r="Q35" s="33"/>
      <c r="R35" s="33"/>
      <c r="S35" s="33"/>
      <c r="T35" s="34"/>
      <c r="U35" s="9"/>
    </row>
    <row r="36" spans="1:21" ht="28.5" customHeight="1" x14ac:dyDescent="0.2">
      <c r="A36" s="243" t="s">
        <v>98</v>
      </c>
      <c r="B36" s="244"/>
      <c r="C36" s="245"/>
      <c r="D36" s="245"/>
      <c r="E36" s="245"/>
      <c r="F36" s="245"/>
      <c r="G36" s="245"/>
      <c r="H36" s="245"/>
      <c r="I36" s="245"/>
      <c r="J36" s="245"/>
      <c r="K36" s="245"/>
      <c r="L36" s="245"/>
      <c r="M36" s="245"/>
      <c r="N36" s="245"/>
      <c r="O36" s="245"/>
      <c r="P36" s="245"/>
      <c r="Q36" s="245"/>
      <c r="R36" s="245"/>
      <c r="S36" s="245"/>
      <c r="T36" s="246"/>
      <c r="U36" s="9"/>
    </row>
    <row r="37" spans="1:21" ht="12" customHeight="1" x14ac:dyDescent="0.2">
      <c r="A37" s="77" t="s">
        <v>99</v>
      </c>
      <c r="B37" s="247" t="s">
        <v>67</v>
      </c>
      <c r="C37" s="248"/>
      <c r="D37" s="248"/>
      <c r="E37" s="248"/>
      <c r="F37" s="248"/>
      <c r="G37" s="248"/>
      <c r="H37" s="248"/>
      <c r="I37" s="248"/>
      <c r="J37" s="248"/>
      <c r="K37" s="248"/>
      <c r="L37" s="248"/>
      <c r="M37" s="248"/>
      <c r="N37" s="248"/>
      <c r="O37" s="248"/>
      <c r="P37" s="248"/>
      <c r="Q37" s="248"/>
      <c r="R37" s="248"/>
      <c r="S37" s="248"/>
      <c r="T37" s="248"/>
      <c r="U37" s="9"/>
    </row>
    <row r="38" spans="1:21" ht="12" customHeight="1" x14ac:dyDescent="0.2">
      <c r="A38" s="77" t="s">
        <v>99</v>
      </c>
      <c r="B38" s="247" t="s">
        <v>67</v>
      </c>
      <c r="C38" s="248"/>
      <c r="D38" s="248"/>
      <c r="E38" s="248"/>
      <c r="F38" s="248"/>
      <c r="G38" s="248"/>
      <c r="H38" s="248"/>
      <c r="I38" s="248"/>
      <c r="J38" s="248"/>
      <c r="K38" s="248"/>
      <c r="L38" s="248"/>
      <c r="M38" s="248"/>
      <c r="N38" s="248"/>
      <c r="O38" s="248"/>
      <c r="P38" s="248"/>
      <c r="Q38" s="248"/>
      <c r="R38" s="248"/>
      <c r="S38" s="248"/>
      <c r="T38" s="248"/>
    </row>
  </sheetData>
  <mergeCells count="31">
    <mergeCell ref="A5:B5"/>
    <mergeCell ref="C5:E5"/>
    <mergeCell ref="F5:L5"/>
    <mergeCell ref="M5:S5"/>
    <mergeCell ref="T5:T8"/>
    <mergeCell ref="A6:A9"/>
    <mergeCell ref="B6:B9"/>
    <mergeCell ref="C6:C9"/>
    <mergeCell ref="D6:D9"/>
    <mergeCell ref="E6:E9"/>
    <mergeCell ref="A27:T27"/>
    <mergeCell ref="F6:H7"/>
    <mergeCell ref="I6:I8"/>
    <mergeCell ref="J6:J8"/>
    <mergeCell ref="K6:L7"/>
    <mergeCell ref="M6:O7"/>
    <mergeCell ref="P6:P8"/>
    <mergeCell ref="Q6:Q8"/>
    <mergeCell ref="R6:S7"/>
    <mergeCell ref="F9:L9"/>
    <mergeCell ref="M9:S9"/>
    <mergeCell ref="A26:T26"/>
    <mergeCell ref="A36:T36"/>
    <mergeCell ref="B37:T37"/>
    <mergeCell ref="B38:T38"/>
    <mergeCell ref="A28:T28"/>
    <mergeCell ref="A29:S29"/>
    <mergeCell ref="A30:T30"/>
    <mergeCell ref="A31:T31"/>
    <mergeCell ref="A32:T32"/>
    <mergeCell ref="A33:T3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5"/>
  <sheetViews>
    <sheetView workbookViewId="0">
      <selection activeCell="D20" sqref="D20"/>
    </sheetView>
  </sheetViews>
  <sheetFormatPr defaultColWidth="9.140625" defaultRowHeight="12" x14ac:dyDescent="0.2"/>
  <cols>
    <col min="1" max="1" width="46.42578125" style="126" customWidth="1"/>
    <col min="2" max="2" width="13.85546875" style="126" customWidth="1"/>
    <col min="3" max="3" width="20" style="126" customWidth="1"/>
    <col min="4" max="6" width="16.85546875" style="126" customWidth="1"/>
    <col min="7" max="9" width="17.5703125" style="126" customWidth="1"/>
    <col min="10" max="16384" width="9.140625" style="126"/>
  </cols>
  <sheetData>
    <row r="1" spans="1:10" ht="15.75" x14ac:dyDescent="0.25">
      <c r="A1" s="8" t="s">
        <v>418</v>
      </c>
      <c r="B1" s="37"/>
      <c r="C1" s="37"/>
      <c r="D1" s="9"/>
      <c r="E1" s="9"/>
      <c r="F1" s="9"/>
      <c r="G1" s="9"/>
      <c r="H1" s="9"/>
      <c r="I1" s="10" t="s">
        <v>36</v>
      </c>
      <c r="J1" s="125"/>
    </row>
    <row r="2" spans="1:10" ht="15.75" x14ac:dyDescent="0.25">
      <c r="A2" s="281" t="s">
        <v>419</v>
      </c>
      <c r="B2" s="281"/>
      <c r="C2" s="281"/>
      <c r="D2" s="127"/>
      <c r="E2" s="9"/>
      <c r="F2" s="9"/>
      <c r="G2" s="9"/>
      <c r="H2" s="9"/>
      <c r="I2" s="10" t="s">
        <v>38</v>
      </c>
      <c r="J2" s="125"/>
    </row>
    <row r="3" spans="1:10" ht="15.75" x14ac:dyDescent="0.25">
      <c r="A3" s="8" t="s">
        <v>39</v>
      </c>
      <c r="B3" s="37"/>
      <c r="C3" s="37"/>
      <c r="D3" s="9"/>
      <c r="E3" s="9"/>
      <c r="F3" s="9"/>
      <c r="G3" s="9"/>
      <c r="H3" s="9"/>
      <c r="I3" s="10" t="s">
        <v>41</v>
      </c>
      <c r="J3" s="125"/>
    </row>
    <row r="4" spans="1:10" x14ac:dyDescent="0.2">
      <c r="A4" s="9"/>
      <c r="B4" s="9"/>
      <c r="C4" s="9"/>
      <c r="D4" s="9"/>
      <c r="E4" s="9"/>
      <c r="F4" s="9"/>
      <c r="G4" s="9"/>
      <c r="H4" s="9"/>
      <c r="I4" s="9"/>
      <c r="J4" s="125"/>
    </row>
    <row r="5" spans="1:10" ht="15" customHeight="1" x14ac:dyDescent="0.2">
      <c r="A5" s="128" t="s">
        <v>42</v>
      </c>
      <c r="B5" s="253" t="s">
        <v>420</v>
      </c>
      <c r="C5" s="80" t="s">
        <v>43</v>
      </c>
      <c r="D5" s="253" t="s">
        <v>421</v>
      </c>
      <c r="E5" s="253"/>
      <c r="F5" s="253"/>
      <c r="G5" s="252" t="s">
        <v>104</v>
      </c>
      <c r="H5" s="253"/>
      <c r="I5" s="254"/>
      <c r="J5" s="125"/>
    </row>
    <row r="6" spans="1:10" ht="15" x14ac:dyDescent="0.25">
      <c r="A6" s="269" t="s">
        <v>422</v>
      </c>
      <c r="B6" s="282"/>
      <c r="C6" s="129" t="s">
        <v>423</v>
      </c>
      <c r="D6" s="130" t="s">
        <v>424</v>
      </c>
      <c r="E6" s="130" t="s">
        <v>425</v>
      </c>
      <c r="F6" s="129" t="s">
        <v>426</v>
      </c>
      <c r="G6" s="131" t="s">
        <v>427</v>
      </c>
      <c r="H6" s="131" t="s">
        <v>107</v>
      </c>
      <c r="I6" s="131" t="s">
        <v>428</v>
      </c>
      <c r="J6" s="125"/>
    </row>
    <row r="7" spans="1:10" ht="14.25" thickBot="1" x14ac:dyDescent="0.3">
      <c r="A7" s="271"/>
      <c r="B7" s="283"/>
      <c r="C7" s="132" t="s">
        <v>355</v>
      </c>
      <c r="D7" s="132" t="s">
        <v>429</v>
      </c>
      <c r="E7" s="133" t="s">
        <v>380</v>
      </c>
      <c r="F7" s="134" t="s">
        <v>430</v>
      </c>
      <c r="G7" s="284" t="s">
        <v>65</v>
      </c>
      <c r="H7" s="285"/>
      <c r="I7" s="286"/>
      <c r="J7" s="125"/>
    </row>
    <row r="8" spans="1:10" ht="12" customHeight="1" thickTop="1" x14ac:dyDescent="0.2">
      <c r="A8" s="82" t="s">
        <v>431</v>
      </c>
      <c r="B8" s="135" t="s">
        <v>67</v>
      </c>
      <c r="C8" s="135" t="s">
        <v>67</v>
      </c>
      <c r="D8" s="135" t="s">
        <v>67</v>
      </c>
      <c r="E8" s="135" t="s">
        <v>67</v>
      </c>
      <c r="F8" s="135" t="s">
        <v>67</v>
      </c>
      <c r="G8" s="105" t="s">
        <v>432</v>
      </c>
      <c r="H8" s="105">
        <v>6.5568660000000003</v>
      </c>
      <c r="I8" s="105">
        <v>30.613394</v>
      </c>
      <c r="J8" s="125"/>
    </row>
    <row r="9" spans="1:10" ht="12" customHeight="1" x14ac:dyDescent="0.2">
      <c r="A9" s="114" t="s">
        <v>433</v>
      </c>
      <c r="B9" s="135" t="s">
        <v>67</v>
      </c>
      <c r="C9" s="135" t="s">
        <v>67</v>
      </c>
      <c r="D9" s="135" t="s">
        <v>67</v>
      </c>
      <c r="E9" s="135" t="s">
        <v>67</v>
      </c>
      <c r="F9" s="135" t="s">
        <v>67</v>
      </c>
      <c r="G9" s="105" t="s">
        <v>311</v>
      </c>
      <c r="H9" s="105">
        <v>6.22</v>
      </c>
      <c r="I9" s="105">
        <v>27.672000000000001</v>
      </c>
      <c r="J9" s="125"/>
    </row>
    <row r="10" spans="1:10" ht="12" customHeight="1" x14ac:dyDescent="0.2">
      <c r="A10" s="136" t="s">
        <v>434</v>
      </c>
      <c r="B10" s="135"/>
      <c r="C10" s="105">
        <v>4310.5320000000002</v>
      </c>
      <c r="D10" s="105" t="s">
        <v>311</v>
      </c>
      <c r="E10" s="105">
        <v>0.91825830736944003</v>
      </c>
      <c r="F10" s="105">
        <v>6.4196252341938296</v>
      </c>
      <c r="G10" s="105" t="s">
        <v>311</v>
      </c>
      <c r="H10" s="105">
        <v>6.22</v>
      </c>
      <c r="I10" s="105">
        <v>27.672000000000001</v>
      </c>
      <c r="J10" s="125"/>
    </row>
    <row r="11" spans="1:10" ht="12" customHeight="1" x14ac:dyDescent="0.2">
      <c r="A11" s="137" t="s">
        <v>435</v>
      </c>
      <c r="B11" s="135"/>
      <c r="C11" s="105">
        <v>4310.5320000000002</v>
      </c>
      <c r="D11" s="105" t="s">
        <v>70</v>
      </c>
      <c r="E11" s="105">
        <v>0.91825830736944003</v>
      </c>
      <c r="F11" s="105">
        <v>6.4196252341938296</v>
      </c>
      <c r="G11" s="105" t="s">
        <v>70</v>
      </c>
      <c r="H11" s="105">
        <v>6.22</v>
      </c>
      <c r="I11" s="105">
        <v>27.672000000000001</v>
      </c>
      <c r="J11" s="125"/>
    </row>
    <row r="12" spans="1:10" ht="12" customHeight="1" x14ac:dyDescent="0.2">
      <c r="A12" s="137" t="s">
        <v>436</v>
      </c>
      <c r="B12" s="135"/>
      <c r="C12" s="105" t="s">
        <v>69</v>
      </c>
      <c r="D12" s="105" t="s">
        <v>69</v>
      </c>
      <c r="E12" s="105" t="s">
        <v>69</v>
      </c>
      <c r="F12" s="105" t="s">
        <v>69</v>
      </c>
      <c r="G12" s="105" t="s">
        <v>69</v>
      </c>
      <c r="H12" s="105" t="s">
        <v>69</v>
      </c>
      <c r="I12" s="105" t="s">
        <v>69</v>
      </c>
      <c r="J12" s="125"/>
    </row>
    <row r="13" spans="1:10" ht="12" customHeight="1" x14ac:dyDescent="0.2">
      <c r="A13" s="138" t="s">
        <v>437</v>
      </c>
      <c r="B13" s="135"/>
      <c r="C13" s="105" t="s">
        <v>69</v>
      </c>
      <c r="D13" s="105" t="s">
        <v>69</v>
      </c>
      <c r="E13" s="105" t="s">
        <v>69</v>
      </c>
      <c r="F13" s="105" t="s">
        <v>69</v>
      </c>
      <c r="G13" s="105" t="s">
        <v>69</v>
      </c>
      <c r="H13" s="105" t="s">
        <v>69</v>
      </c>
      <c r="I13" s="105" t="s">
        <v>69</v>
      </c>
      <c r="J13" s="125"/>
    </row>
    <row r="14" spans="1:10" ht="12" customHeight="1" x14ac:dyDescent="0.2">
      <c r="A14" s="136" t="s">
        <v>438</v>
      </c>
      <c r="B14" s="135"/>
      <c r="C14" s="105" t="s">
        <v>69</v>
      </c>
      <c r="D14" s="105" t="s">
        <v>69</v>
      </c>
      <c r="E14" s="105" t="s">
        <v>69</v>
      </c>
      <c r="F14" s="105" t="s">
        <v>69</v>
      </c>
      <c r="G14" s="105" t="s">
        <v>69</v>
      </c>
      <c r="H14" s="105" t="s">
        <v>69</v>
      </c>
      <c r="I14" s="105" t="s">
        <v>69</v>
      </c>
      <c r="J14" s="125"/>
    </row>
    <row r="15" spans="1:10" ht="12" customHeight="1" x14ac:dyDescent="0.2">
      <c r="A15" s="138" t="s">
        <v>439</v>
      </c>
      <c r="B15" s="135"/>
      <c r="C15" s="105" t="s">
        <v>69</v>
      </c>
      <c r="D15" s="105" t="s">
        <v>69</v>
      </c>
      <c r="E15" s="105" t="s">
        <v>69</v>
      </c>
      <c r="F15" s="105" t="s">
        <v>69</v>
      </c>
      <c r="G15" s="105" t="s">
        <v>69</v>
      </c>
      <c r="H15" s="105" t="s">
        <v>69</v>
      </c>
      <c r="I15" s="105" t="s">
        <v>69</v>
      </c>
      <c r="J15" s="125"/>
    </row>
    <row r="16" spans="1:10" ht="12" customHeight="1" x14ac:dyDescent="0.2">
      <c r="A16" s="138" t="s">
        <v>437</v>
      </c>
      <c r="B16" s="135"/>
      <c r="C16" s="105" t="s">
        <v>69</v>
      </c>
      <c r="D16" s="105" t="s">
        <v>69</v>
      </c>
      <c r="E16" s="105" t="s">
        <v>69</v>
      </c>
      <c r="F16" s="105" t="s">
        <v>69</v>
      </c>
      <c r="G16" s="105" t="s">
        <v>69</v>
      </c>
      <c r="H16" s="105" t="s">
        <v>69</v>
      </c>
      <c r="I16" s="105" t="s">
        <v>69</v>
      </c>
      <c r="J16" s="125"/>
    </row>
    <row r="17" spans="1:10" ht="12" customHeight="1" x14ac:dyDescent="0.2">
      <c r="A17" s="114" t="s">
        <v>440</v>
      </c>
      <c r="B17" s="135" t="s">
        <v>67</v>
      </c>
      <c r="C17" s="135" t="s">
        <v>67</v>
      </c>
      <c r="D17" s="135" t="s">
        <v>67</v>
      </c>
      <c r="E17" s="135" t="s">
        <v>67</v>
      </c>
      <c r="F17" s="135" t="s">
        <v>67</v>
      </c>
      <c r="G17" s="105" t="s">
        <v>311</v>
      </c>
      <c r="H17" s="105" t="s">
        <v>69</v>
      </c>
      <c r="I17" s="105" t="s">
        <v>69</v>
      </c>
      <c r="J17" s="125"/>
    </row>
    <row r="18" spans="1:10" ht="12" customHeight="1" x14ac:dyDescent="0.2">
      <c r="A18" s="136" t="s">
        <v>434</v>
      </c>
      <c r="B18" s="135"/>
      <c r="C18" s="105" t="s">
        <v>311</v>
      </c>
      <c r="D18" s="105" t="s">
        <v>311</v>
      </c>
      <c r="E18" s="135" t="s">
        <v>67</v>
      </c>
      <c r="F18" s="105" t="s">
        <v>69</v>
      </c>
      <c r="G18" s="105" t="s">
        <v>311</v>
      </c>
      <c r="H18" s="135" t="s">
        <v>67</v>
      </c>
      <c r="I18" s="105" t="s">
        <v>69</v>
      </c>
      <c r="J18" s="125"/>
    </row>
    <row r="19" spans="1:10" ht="12" customHeight="1" x14ac:dyDescent="0.2">
      <c r="A19" s="137" t="s">
        <v>435</v>
      </c>
      <c r="B19" s="135"/>
      <c r="C19" s="105" t="s">
        <v>70</v>
      </c>
      <c r="D19" s="105" t="s">
        <v>70</v>
      </c>
      <c r="E19" s="135" t="s">
        <v>67</v>
      </c>
      <c r="F19" s="105" t="s">
        <v>69</v>
      </c>
      <c r="G19" s="105" t="s">
        <v>70</v>
      </c>
      <c r="H19" s="135" t="s">
        <v>67</v>
      </c>
      <c r="I19" s="105" t="s">
        <v>69</v>
      </c>
      <c r="J19" s="125"/>
    </row>
    <row r="20" spans="1:10" ht="12" customHeight="1" x14ac:dyDescent="0.2">
      <c r="A20" s="137" t="s">
        <v>436</v>
      </c>
      <c r="B20" s="135"/>
      <c r="C20" s="105" t="s">
        <v>69</v>
      </c>
      <c r="D20" s="105" t="s">
        <v>69</v>
      </c>
      <c r="E20" s="135" t="s">
        <v>67</v>
      </c>
      <c r="F20" s="105" t="s">
        <v>69</v>
      </c>
      <c r="G20" s="105" t="s">
        <v>69</v>
      </c>
      <c r="H20" s="135" t="s">
        <v>67</v>
      </c>
      <c r="I20" s="105" t="s">
        <v>69</v>
      </c>
      <c r="J20" s="125"/>
    </row>
    <row r="21" spans="1:10" ht="12" customHeight="1" x14ac:dyDescent="0.2">
      <c r="A21" s="138" t="s">
        <v>437</v>
      </c>
      <c r="B21" s="135"/>
      <c r="C21" s="105" t="s">
        <v>69</v>
      </c>
      <c r="D21" s="105" t="s">
        <v>69</v>
      </c>
      <c r="E21" s="135" t="s">
        <v>67</v>
      </c>
      <c r="F21" s="105" t="s">
        <v>69</v>
      </c>
      <c r="G21" s="105" t="s">
        <v>69</v>
      </c>
      <c r="H21" s="135" t="s">
        <v>67</v>
      </c>
      <c r="I21" s="105" t="s">
        <v>69</v>
      </c>
      <c r="J21" s="125"/>
    </row>
    <row r="22" spans="1:10" ht="12" customHeight="1" x14ac:dyDescent="0.2">
      <c r="A22" s="136" t="s">
        <v>438</v>
      </c>
      <c r="B22" s="135"/>
      <c r="C22" s="105" t="s">
        <v>69</v>
      </c>
      <c r="D22" s="105" t="s">
        <v>69</v>
      </c>
      <c r="E22" s="105" t="s">
        <v>69</v>
      </c>
      <c r="F22" s="105" t="s">
        <v>69</v>
      </c>
      <c r="G22" s="105" t="s">
        <v>69</v>
      </c>
      <c r="H22" s="105" t="s">
        <v>69</v>
      </c>
      <c r="I22" s="105" t="s">
        <v>69</v>
      </c>
      <c r="J22" s="125"/>
    </row>
    <row r="23" spans="1:10" ht="12" customHeight="1" x14ac:dyDescent="0.2">
      <c r="A23" s="138" t="s">
        <v>439</v>
      </c>
      <c r="B23" s="135"/>
      <c r="C23" s="105" t="s">
        <v>69</v>
      </c>
      <c r="D23" s="105" t="s">
        <v>69</v>
      </c>
      <c r="E23" s="135" t="s">
        <v>67</v>
      </c>
      <c r="F23" s="105" t="s">
        <v>69</v>
      </c>
      <c r="G23" s="105" t="s">
        <v>69</v>
      </c>
      <c r="H23" s="135" t="s">
        <v>67</v>
      </c>
      <c r="I23" s="105" t="s">
        <v>69</v>
      </c>
      <c r="J23" s="125"/>
    </row>
    <row r="24" spans="1:10" ht="12" customHeight="1" x14ac:dyDescent="0.2">
      <c r="A24" s="138" t="s">
        <v>437</v>
      </c>
      <c r="B24" s="135"/>
      <c r="C24" s="105" t="s">
        <v>69</v>
      </c>
      <c r="D24" s="105" t="s">
        <v>69</v>
      </c>
      <c r="E24" s="105" t="s">
        <v>69</v>
      </c>
      <c r="F24" s="105" t="s">
        <v>69</v>
      </c>
      <c r="G24" s="105" t="s">
        <v>69</v>
      </c>
      <c r="H24" s="105" t="s">
        <v>69</v>
      </c>
      <c r="I24" s="105" t="s">
        <v>69</v>
      </c>
      <c r="J24" s="125"/>
    </row>
    <row r="25" spans="1:10" ht="12" customHeight="1" x14ac:dyDescent="0.2">
      <c r="A25" s="114" t="s">
        <v>441</v>
      </c>
      <c r="B25" s="135" t="s">
        <v>67</v>
      </c>
      <c r="C25" s="135" t="s">
        <v>67</v>
      </c>
      <c r="D25" s="135" t="s">
        <v>67</v>
      </c>
      <c r="E25" s="135" t="s">
        <v>67</v>
      </c>
      <c r="F25" s="135" t="s">
        <v>67</v>
      </c>
      <c r="G25" s="105" t="s">
        <v>311</v>
      </c>
      <c r="H25" s="105" t="s">
        <v>69</v>
      </c>
      <c r="I25" s="105" t="s">
        <v>442</v>
      </c>
      <c r="J25" s="125"/>
    </row>
    <row r="26" spans="1:10" ht="12" customHeight="1" x14ac:dyDescent="0.2">
      <c r="A26" s="136" t="s">
        <v>434</v>
      </c>
      <c r="B26" s="135"/>
      <c r="C26" s="105" t="s">
        <v>311</v>
      </c>
      <c r="D26" s="105" t="s">
        <v>311</v>
      </c>
      <c r="E26" s="135" t="s">
        <v>67</v>
      </c>
      <c r="F26" s="105" t="s">
        <v>442</v>
      </c>
      <c r="G26" s="105" t="s">
        <v>311</v>
      </c>
      <c r="H26" s="135" t="s">
        <v>67</v>
      </c>
      <c r="I26" s="105" t="s">
        <v>442</v>
      </c>
      <c r="J26" s="125"/>
    </row>
    <row r="27" spans="1:10" ht="12" customHeight="1" x14ac:dyDescent="0.2">
      <c r="A27" s="137" t="s">
        <v>435</v>
      </c>
      <c r="B27" s="135"/>
      <c r="C27" s="105" t="s">
        <v>70</v>
      </c>
      <c r="D27" s="105" t="s">
        <v>70</v>
      </c>
      <c r="E27" s="135" t="s">
        <v>67</v>
      </c>
      <c r="F27" s="105" t="s">
        <v>76</v>
      </c>
      <c r="G27" s="105" t="s">
        <v>70</v>
      </c>
      <c r="H27" s="135" t="s">
        <v>67</v>
      </c>
      <c r="I27" s="105" t="s">
        <v>76</v>
      </c>
      <c r="J27" s="125"/>
    </row>
    <row r="28" spans="1:10" ht="12" customHeight="1" x14ac:dyDescent="0.2">
      <c r="A28" s="137" t="s">
        <v>436</v>
      </c>
      <c r="B28" s="135"/>
      <c r="C28" s="105" t="s">
        <v>69</v>
      </c>
      <c r="D28" s="105" t="s">
        <v>69</v>
      </c>
      <c r="E28" s="135" t="s">
        <v>67</v>
      </c>
      <c r="F28" s="105" t="s">
        <v>69</v>
      </c>
      <c r="G28" s="105" t="s">
        <v>69</v>
      </c>
      <c r="H28" s="135" t="s">
        <v>67</v>
      </c>
      <c r="I28" s="105" t="s">
        <v>69</v>
      </c>
      <c r="J28" s="125"/>
    </row>
    <row r="29" spans="1:10" ht="12" customHeight="1" x14ac:dyDescent="0.2">
      <c r="A29" s="138" t="s">
        <v>437</v>
      </c>
      <c r="B29" s="135"/>
      <c r="C29" s="105" t="s">
        <v>69</v>
      </c>
      <c r="D29" s="105" t="s">
        <v>69</v>
      </c>
      <c r="E29" s="135" t="s">
        <v>67</v>
      </c>
      <c r="F29" s="105" t="s">
        <v>69</v>
      </c>
      <c r="G29" s="105" t="s">
        <v>69</v>
      </c>
      <c r="H29" s="135" t="s">
        <v>67</v>
      </c>
      <c r="I29" s="105" t="s">
        <v>69</v>
      </c>
      <c r="J29" s="125"/>
    </row>
    <row r="30" spans="1:10" ht="12" customHeight="1" x14ac:dyDescent="0.2">
      <c r="A30" s="136" t="s">
        <v>438</v>
      </c>
      <c r="B30" s="135"/>
      <c r="C30" s="105" t="s">
        <v>69</v>
      </c>
      <c r="D30" s="105" t="s">
        <v>69</v>
      </c>
      <c r="E30" s="105" t="s">
        <v>69</v>
      </c>
      <c r="F30" s="105" t="s">
        <v>69</v>
      </c>
      <c r="G30" s="105" t="s">
        <v>69</v>
      </c>
      <c r="H30" s="105" t="s">
        <v>69</v>
      </c>
      <c r="I30" s="105" t="s">
        <v>69</v>
      </c>
      <c r="J30" s="125"/>
    </row>
    <row r="31" spans="1:10" ht="12" customHeight="1" x14ac:dyDescent="0.2">
      <c r="A31" s="138" t="s">
        <v>439</v>
      </c>
      <c r="B31" s="135"/>
      <c r="C31" s="105" t="s">
        <v>69</v>
      </c>
      <c r="D31" s="105" t="s">
        <v>69</v>
      </c>
      <c r="E31" s="135" t="s">
        <v>67</v>
      </c>
      <c r="F31" s="105" t="s">
        <v>69</v>
      </c>
      <c r="G31" s="105" t="s">
        <v>69</v>
      </c>
      <c r="H31" s="135" t="s">
        <v>67</v>
      </c>
      <c r="I31" s="105" t="s">
        <v>69</v>
      </c>
      <c r="J31" s="125"/>
    </row>
    <row r="32" spans="1:10" ht="12" customHeight="1" x14ac:dyDescent="0.2">
      <c r="A32" s="138" t="s">
        <v>437</v>
      </c>
      <c r="B32" s="135"/>
      <c r="C32" s="105" t="s">
        <v>69</v>
      </c>
      <c r="D32" s="105" t="s">
        <v>69</v>
      </c>
      <c r="E32" s="105" t="s">
        <v>69</v>
      </c>
      <c r="F32" s="105" t="s">
        <v>69</v>
      </c>
      <c r="G32" s="105" t="s">
        <v>69</v>
      </c>
      <c r="H32" s="105" t="s">
        <v>69</v>
      </c>
      <c r="I32" s="105" t="s">
        <v>69</v>
      </c>
      <c r="J32" s="125"/>
    </row>
    <row r="33" spans="1:10" ht="12" customHeight="1" x14ac:dyDescent="0.2">
      <c r="A33" s="114" t="s">
        <v>443</v>
      </c>
      <c r="B33" s="135" t="s">
        <v>67</v>
      </c>
      <c r="C33" s="135" t="s">
        <v>67</v>
      </c>
      <c r="D33" s="135" t="s">
        <v>67</v>
      </c>
      <c r="E33" s="135" t="s">
        <v>67</v>
      </c>
      <c r="F33" s="135" t="s">
        <v>67</v>
      </c>
      <c r="G33" s="105" t="s">
        <v>432</v>
      </c>
      <c r="H33" s="105">
        <v>0.336866</v>
      </c>
      <c r="I33" s="105">
        <v>2.9413939999999998</v>
      </c>
      <c r="J33" s="125"/>
    </row>
    <row r="34" spans="1:10" ht="12" customHeight="1" x14ac:dyDescent="0.2">
      <c r="A34" s="115" t="s">
        <v>444</v>
      </c>
      <c r="B34" s="135" t="s">
        <v>67</v>
      </c>
      <c r="C34" s="135" t="s">
        <v>67</v>
      </c>
      <c r="D34" s="135" t="s">
        <v>67</v>
      </c>
      <c r="E34" s="135" t="s">
        <v>67</v>
      </c>
      <c r="F34" s="135" t="s">
        <v>67</v>
      </c>
      <c r="G34" s="105" t="s">
        <v>432</v>
      </c>
      <c r="H34" s="105">
        <v>0.33</v>
      </c>
      <c r="I34" s="105">
        <v>2.3889</v>
      </c>
      <c r="J34" s="125"/>
    </row>
    <row r="35" spans="1:10" ht="12" customHeight="1" x14ac:dyDescent="0.2">
      <c r="A35" s="139" t="s">
        <v>434</v>
      </c>
      <c r="B35" s="135"/>
      <c r="C35" s="105">
        <v>114.262</v>
      </c>
      <c r="D35" s="105" t="s">
        <v>311</v>
      </c>
      <c r="E35" s="105">
        <v>1.8378813603822799</v>
      </c>
      <c r="F35" s="105">
        <v>20.9072132467487</v>
      </c>
      <c r="G35" s="105" t="s">
        <v>311</v>
      </c>
      <c r="H35" s="105">
        <v>0.33</v>
      </c>
      <c r="I35" s="105">
        <v>2.3889</v>
      </c>
      <c r="J35" s="125"/>
    </row>
    <row r="36" spans="1:10" ht="12" customHeight="1" x14ac:dyDescent="0.2">
      <c r="A36" s="140" t="s">
        <v>435</v>
      </c>
      <c r="B36" s="135"/>
      <c r="C36" s="105">
        <v>114.262</v>
      </c>
      <c r="D36" s="105" t="s">
        <v>70</v>
      </c>
      <c r="E36" s="105">
        <v>1.8378813603822799</v>
      </c>
      <c r="F36" s="105">
        <v>20.9072132467487</v>
      </c>
      <c r="G36" s="105" t="s">
        <v>70</v>
      </c>
      <c r="H36" s="105">
        <v>0.33</v>
      </c>
      <c r="I36" s="105">
        <v>2.3889</v>
      </c>
      <c r="J36" s="125"/>
    </row>
    <row r="37" spans="1:10" ht="12" customHeight="1" x14ac:dyDescent="0.2">
      <c r="A37" s="141" t="s">
        <v>445</v>
      </c>
      <c r="B37" s="104" t="s">
        <v>445</v>
      </c>
      <c r="C37" s="104">
        <v>114.262</v>
      </c>
      <c r="D37" s="105" t="s">
        <v>70</v>
      </c>
      <c r="E37" s="105">
        <v>1.8378813603822799</v>
      </c>
      <c r="F37" s="105">
        <v>20.9072132467487</v>
      </c>
      <c r="G37" s="104" t="s">
        <v>70</v>
      </c>
      <c r="H37" s="104">
        <v>0.33</v>
      </c>
      <c r="I37" s="104">
        <v>2.3889</v>
      </c>
      <c r="J37" s="125"/>
    </row>
    <row r="38" spans="1:10" ht="12" customHeight="1" x14ac:dyDescent="0.2">
      <c r="A38" s="140" t="s">
        <v>436</v>
      </c>
      <c r="B38" s="135"/>
      <c r="C38" s="105" t="s">
        <v>84</v>
      </c>
      <c r="D38" s="105" t="s">
        <v>69</v>
      </c>
      <c r="E38" s="105" t="s">
        <v>69</v>
      </c>
      <c r="F38" s="105" t="s">
        <v>69</v>
      </c>
      <c r="G38" s="105" t="s">
        <v>69</v>
      </c>
      <c r="H38" s="105" t="s">
        <v>69</v>
      </c>
      <c r="I38" s="105" t="s">
        <v>69</v>
      </c>
      <c r="J38" s="125"/>
    </row>
    <row r="39" spans="1:10" ht="12" customHeight="1" x14ac:dyDescent="0.2">
      <c r="A39" s="141" t="s">
        <v>446</v>
      </c>
      <c r="B39" s="104" t="s">
        <v>446</v>
      </c>
      <c r="C39" s="104" t="s">
        <v>84</v>
      </c>
      <c r="D39" s="105" t="s">
        <v>69</v>
      </c>
      <c r="E39" s="105" t="s">
        <v>69</v>
      </c>
      <c r="F39" s="105" t="s">
        <v>69</v>
      </c>
      <c r="G39" s="104" t="s">
        <v>69</v>
      </c>
      <c r="H39" s="104" t="s">
        <v>69</v>
      </c>
      <c r="I39" s="104" t="s">
        <v>69</v>
      </c>
      <c r="J39" s="125"/>
    </row>
    <row r="40" spans="1:10" ht="12" customHeight="1" x14ac:dyDescent="0.2">
      <c r="A40" s="142" t="s">
        <v>437</v>
      </c>
      <c r="B40" s="135"/>
      <c r="C40" s="105" t="s">
        <v>84</v>
      </c>
      <c r="D40" s="105" t="s">
        <v>69</v>
      </c>
      <c r="E40" s="105" t="s">
        <v>69</v>
      </c>
      <c r="F40" s="105" t="s">
        <v>69</v>
      </c>
      <c r="G40" s="105" t="s">
        <v>69</v>
      </c>
      <c r="H40" s="105" t="s">
        <v>69</v>
      </c>
      <c r="I40" s="105" t="s">
        <v>69</v>
      </c>
      <c r="J40" s="125"/>
    </row>
    <row r="41" spans="1:10" ht="12" customHeight="1" x14ac:dyDescent="0.2">
      <c r="A41" s="143" t="s">
        <v>447</v>
      </c>
      <c r="B41" s="105" t="s">
        <v>447</v>
      </c>
      <c r="C41" s="105" t="s">
        <v>84</v>
      </c>
      <c r="D41" s="105" t="s">
        <v>69</v>
      </c>
      <c r="E41" s="105" t="s">
        <v>69</v>
      </c>
      <c r="F41" s="105" t="s">
        <v>69</v>
      </c>
      <c r="G41" s="105" t="s">
        <v>69</v>
      </c>
      <c r="H41" s="105" t="s">
        <v>69</v>
      </c>
      <c r="I41" s="105" t="s">
        <v>69</v>
      </c>
      <c r="J41" s="125"/>
    </row>
    <row r="42" spans="1:10" ht="12" customHeight="1" x14ac:dyDescent="0.2">
      <c r="A42" s="139" t="s">
        <v>438</v>
      </c>
      <c r="B42" s="135"/>
      <c r="C42" s="105" t="s">
        <v>84</v>
      </c>
      <c r="D42" s="105" t="s">
        <v>84</v>
      </c>
      <c r="E42" s="105" t="s">
        <v>84</v>
      </c>
      <c r="F42" s="105" t="s">
        <v>84</v>
      </c>
      <c r="G42" s="105" t="s">
        <v>84</v>
      </c>
      <c r="H42" s="105" t="s">
        <v>84</v>
      </c>
      <c r="I42" s="105" t="s">
        <v>84</v>
      </c>
      <c r="J42" s="125"/>
    </row>
    <row r="43" spans="1:10" ht="12" customHeight="1" x14ac:dyDescent="0.2">
      <c r="A43" s="142" t="s">
        <v>439</v>
      </c>
      <c r="B43" s="135"/>
      <c r="C43" s="105" t="s">
        <v>84</v>
      </c>
      <c r="D43" s="105" t="s">
        <v>84</v>
      </c>
      <c r="E43" s="105" t="s">
        <v>84</v>
      </c>
      <c r="F43" s="105" t="s">
        <v>84</v>
      </c>
      <c r="G43" s="105" t="s">
        <v>84</v>
      </c>
      <c r="H43" s="105" t="s">
        <v>84</v>
      </c>
      <c r="I43" s="105" t="s">
        <v>84</v>
      </c>
      <c r="J43" s="125"/>
    </row>
    <row r="44" spans="1:10" ht="12" customHeight="1" x14ac:dyDescent="0.2">
      <c r="A44" s="141" t="s">
        <v>448</v>
      </c>
      <c r="B44" s="104" t="s">
        <v>448</v>
      </c>
      <c r="C44" s="104" t="s">
        <v>84</v>
      </c>
      <c r="D44" s="105" t="s">
        <v>84</v>
      </c>
      <c r="E44" s="105" t="s">
        <v>84</v>
      </c>
      <c r="F44" s="105" t="s">
        <v>84</v>
      </c>
      <c r="G44" s="104" t="s">
        <v>84</v>
      </c>
      <c r="H44" s="104" t="s">
        <v>84</v>
      </c>
      <c r="I44" s="104" t="s">
        <v>84</v>
      </c>
      <c r="J44" s="125"/>
    </row>
    <row r="45" spans="1:10" ht="12" customHeight="1" x14ac:dyDescent="0.2">
      <c r="A45" s="142" t="s">
        <v>437</v>
      </c>
      <c r="B45" s="135"/>
      <c r="C45" s="105" t="s">
        <v>84</v>
      </c>
      <c r="D45" s="105" t="s">
        <v>84</v>
      </c>
      <c r="E45" s="105" t="s">
        <v>84</v>
      </c>
      <c r="F45" s="105" t="s">
        <v>84</v>
      </c>
      <c r="G45" s="105" t="s">
        <v>84</v>
      </c>
      <c r="H45" s="105" t="s">
        <v>84</v>
      </c>
      <c r="I45" s="105" t="s">
        <v>84</v>
      </c>
      <c r="J45" s="125"/>
    </row>
    <row r="46" spans="1:10" ht="12" customHeight="1" x14ac:dyDescent="0.2">
      <c r="A46" s="143" t="s">
        <v>449</v>
      </c>
      <c r="B46" s="105" t="s">
        <v>449</v>
      </c>
      <c r="C46" s="105" t="s">
        <v>84</v>
      </c>
      <c r="D46" s="105" t="s">
        <v>84</v>
      </c>
      <c r="E46" s="105" t="s">
        <v>84</v>
      </c>
      <c r="F46" s="105" t="s">
        <v>84</v>
      </c>
      <c r="G46" s="105" t="s">
        <v>84</v>
      </c>
      <c r="H46" s="105" t="s">
        <v>84</v>
      </c>
      <c r="I46" s="105" t="s">
        <v>84</v>
      </c>
      <c r="J46" s="125"/>
    </row>
    <row r="47" spans="1:10" ht="12" customHeight="1" x14ac:dyDescent="0.2">
      <c r="A47" s="115" t="s">
        <v>450</v>
      </c>
      <c r="B47" s="135" t="s">
        <v>67</v>
      </c>
      <c r="C47" s="135" t="s">
        <v>67</v>
      </c>
      <c r="D47" s="135" t="s">
        <v>67</v>
      </c>
      <c r="E47" s="135" t="s">
        <v>67</v>
      </c>
      <c r="F47" s="135" t="s">
        <v>67</v>
      </c>
      <c r="G47" s="105" t="s">
        <v>311</v>
      </c>
      <c r="H47" s="105" t="s">
        <v>69</v>
      </c>
      <c r="I47" s="105">
        <v>0.22700000000000001</v>
      </c>
      <c r="J47" s="125"/>
    </row>
    <row r="48" spans="1:10" ht="12" customHeight="1" x14ac:dyDescent="0.2">
      <c r="A48" s="139" t="s">
        <v>434</v>
      </c>
      <c r="B48" s="135"/>
      <c r="C48" s="105">
        <v>14.641</v>
      </c>
      <c r="D48" s="105" t="s">
        <v>311</v>
      </c>
      <c r="E48" s="105" t="s">
        <v>69</v>
      </c>
      <c r="F48" s="105">
        <v>15.504405436787099</v>
      </c>
      <c r="G48" s="105" t="s">
        <v>311</v>
      </c>
      <c r="H48" s="105" t="s">
        <v>69</v>
      </c>
      <c r="I48" s="105">
        <v>0.22700000000000001</v>
      </c>
      <c r="J48" s="125"/>
    </row>
    <row r="49" spans="1:10" ht="12" customHeight="1" x14ac:dyDescent="0.2">
      <c r="A49" s="140" t="s">
        <v>435</v>
      </c>
      <c r="B49" s="135"/>
      <c r="C49" s="105" t="s">
        <v>84</v>
      </c>
      <c r="D49" s="105" t="s">
        <v>69</v>
      </c>
      <c r="E49" s="105" t="s">
        <v>69</v>
      </c>
      <c r="F49" s="105" t="s">
        <v>69</v>
      </c>
      <c r="G49" s="105" t="s">
        <v>69</v>
      </c>
      <c r="H49" s="105" t="s">
        <v>69</v>
      </c>
      <c r="I49" s="105" t="s">
        <v>69</v>
      </c>
      <c r="J49" s="125"/>
    </row>
    <row r="50" spans="1:10" ht="12" customHeight="1" x14ac:dyDescent="0.2">
      <c r="A50" s="141" t="s">
        <v>445</v>
      </c>
      <c r="B50" s="104" t="s">
        <v>445</v>
      </c>
      <c r="C50" s="104" t="s">
        <v>84</v>
      </c>
      <c r="D50" s="105" t="s">
        <v>69</v>
      </c>
      <c r="E50" s="105" t="s">
        <v>69</v>
      </c>
      <c r="F50" s="105" t="s">
        <v>69</v>
      </c>
      <c r="G50" s="104" t="s">
        <v>69</v>
      </c>
      <c r="H50" s="104" t="s">
        <v>69</v>
      </c>
      <c r="I50" s="104" t="s">
        <v>69</v>
      </c>
      <c r="J50" s="125"/>
    </row>
    <row r="51" spans="1:10" ht="12" customHeight="1" x14ac:dyDescent="0.2">
      <c r="A51" s="140" t="s">
        <v>436</v>
      </c>
      <c r="B51" s="135"/>
      <c r="C51" s="105" t="s">
        <v>84</v>
      </c>
      <c r="D51" s="105" t="s">
        <v>69</v>
      </c>
      <c r="E51" s="105" t="s">
        <v>69</v>
      </c>
      <c r="F51" s="105" t="s">
        <v>69</v>
      </c>
      <c r="G51" s="105" t="s">
        <v>69</v>
      </c>
      <c r="H51" s="105" t="s">
        <v>69</v>
      </c>
      <c r="I51" s="105" t="s">
        <v>69</v>
      </c>
      <c r="J51" s="125"/>
    </row>
    <row r="52" spans="1:10" ht="12" customHeight="1" x14ac:dyDescent="0.2">
      <c r="A52" s="141" t="s">
        <v>446</v>
      </c>
      <c r="B52" s="104" t="s">
        <v>446</v>
      </c>
      <c r="C52" s="104" t="s">
        <v>84</v>
      </c>
      <c r="D52" s="105" t="s">
        <v>69</v>
      </c>
      <c r="E52" s="105" t="s">
        <v>69</v>
      </c>
      <c r="F52" s="105" t="s">
        <v>69</v>
      </c>
      <c r="G52" s="104" t="s">
        <v>69</v>
      </c>
      <c r="H52" s="104" t="s">
        <v>69</v>
      </c>
      <c r="I52" s="104" t="s">
        <v>69</v>
      </c>
      <c r="J52" s="125"/>
    </row>
    <row r="53" spans="1:10" ht="12" customHeight="1" x14ac:dyDescent="0.2">
      <c r="A53" s="142" t="s">
        <v>437</v>
      </c>
      <c r="B53" s="135"/>
      <c r="C53" s="105">
        <v>14.641</v>
      </c>
      <c r="D53" s="105" t="s">
        <v>70</v>
      </c>
      <c r="E53" s="105" t="s">
        <v>69</v>
      </c>
      <c r="F53" s="105">
        <v>15.504405436787099</v>
      </c>
      <c r="G53" s="105" t="s">
        <v>70</v>
      </c>
      <c r="H53" s="105" t="s">
        <v>69</v>
      </c>
      <c r="I53" s="105">
        <v>0.22700000000000001</v>
      </c>
      <c r="J53" s="125"/>
    </row>
    <row r="54" spans="1:10" ht="12" customHeight="1" x14ac:dyDescent="0.2">
      <c r="A54" s="143" t="s">
        <v>447</v>
      </c>
      <c r="B54" s="105" t="s">
        <v>447</v>
      </c>
      <c r="C54" s="105">
        <v>14.641</v>
      </c>
      <c r="D54" s="105" t="s">
        <v>70</v>
      </c>
      <c r="E54" s="105" t="s">
        <v>69</v>
      </c>
      <c r="F54" s="105">
        <v>15.504405436787099</v>
      </c>
      <c r="G54" s="105" t="s">
        <v>70</v>
      </c>
      <c r="H54" s="105" t="s">
        <v>69</v>
      </c>
      <c r="I54" s="105">
        <v>0.22700000000000001</v>
      </c>
      <c r="J54" s="125"/>
    </row>
    <row r="55" spans="1:10" ht="12" customHeight="1" x14ac:dyDescent="0.2">
      <c r="A55" s="139" t="s">
        <v>438</v>
      </c>
      <c r="B55" s="135"/>
      <c r="C55" s="105" t="s">
        <v>84</v>
      </c>
      <c r="D55" s="105" t="s">
        <v>69</v>
      </c>
      <c r="E55" s="105" t="s">
        <v>69</v>
      </c>
      <c r="F55" s="105" t="s">
        <v>69</v>
      </c>
      <c r="G55" s="105" t="s">
        <v>69</v>
      </c>
      <c r="H55" s="105" t="s">
        <v>69</v>
      </c>
      <c r="I55" s="105" t="s">
        <v>69</v>
      </c>
      <c r="J55" s="125"/>
    </row>
    <row r="56" spans="1:10" ht="12" customHeight="1" x14ac:dyDescent="0.2">
      <c r="A56" s="142" t="s">
        <v>439</v>
      </c>
      <c r="B56" s="135"/>
      <c r="C56" s="105" t="s">
        <v>84</v>
      </c>
      <c r="D56" s="105" t="s">
        <v>69</v>
      </c>
      <c r="E56" s="105" t="s">
        <v>69</v>
      </c>
      <c r="F56" s="105" t="s">
        <v>69</v>
      </c>
      <c r="G56" s="105" t="s">
        <v>69</v>
      </c>
      <c r="H56" s="105" t="s">
        <v>69</v>
      </c>
      <c r="I56" s="105" t="s">
        <v>69</v>
      </c>
      <c r="J56" s="125"/>
    </row>
    <row r="57" spans="1:10" ht="12" customHeight="1" x14ac:dyDescent="0.2">
      <c r="A57" s="141" t="s">
        <v>448</v>
      </c>
      <c r="B57" s="104" t="s">
        <v>448</v>
      </c>
      <c r="C57" s="104" t="s">
        <v>84</v>
      </c>
      <c r="D57" s="105" t="s">
        <v>69</v>
      </c>
      <c r="E57" s="105" t="s">
        <v>69</v>
      </c>
      <c r="F57" s="105" t="s">
        <v>69</v>
      </c>
      <c r="G57" s="104" t="s">
        <v>69</v>
      </c>
      <c r="H57" s="104" t="s">
        <v>69</v>
      </c>
      <c r="I57" s="104" t="s">
        <v>69</v>
      </c>
      <c r="J57" s="125"/>
    </row>
    <row r="58" spans="1:10" ht="12" customHeight="1" x14ac:dyDescent="0.2">
      <c r="A58" s="142" t="s">
        <v>437</v>
      </c>
      <c r="B58" s="135"/>
      <c r="C58" s="105" t="s">
        <v>84</v>
      </c>
      <c r="D58" s="105" t="s">
        <v>69</v>
      </c>
      <c r="E58" s="105" t="s">
        <v>69</v>
      </c>
      <c r="F58" s="105" t="s">
        <v>69</v>
      </c>
      <c r="G58" s="105" t="s">
        <v>69</v>
      </c>
      <c r="H58" s="105" t="s">
        <v>69</v>
      </c>
      <c r="I58" s="105" t="s">
        <v>69</v>
      </c>
      <c r="J58" s="125"/>
    </row>
    <row r="59" spans="1:10" ht="12" customHeight="1" x14ac:dyDescent="0.2">
      <c r="A59" s="143" t="s">
        <v>449</v>
      </c>
      <c r="B59" s="105" t="s">
        <v>449</v>
      </c>
      <c r="C59" s="105" t="s">
        <v>84</v>
      </c>
      <c r="D59" s="105" t="s">
        <v>69</v>
      </c>
      <c r="E59" s="105" t="s">
        <v>69</v>
      </c>
      <c r="F59" s="105" t="s">
        <v>69</v>
      </c>
      <c r="G59" s="105" t="s">
        <v>69</v>
      </c>
      <c r="H59" s="105" t="s">
        <v>69</v>
      </c>
      <c r="I59" s="105" t="s">
        <v>69</v>
      </c>
      <c r="J59" s="125"/>
    </row>
    <row r="60" spans="1:10" ht="12" customHeight="1" x14ac:dyDescent="0.2">
      <c r="A60" s="115" t="s">
        <v>451</v>
      </c>
      <c r="B60" s="135"/>
      <c r="C60" s="135" t="s">
        <v>67</v>
      </c>
      <c r="D60" s="135" t="s">
        <v>67</v>
      </c>
      <c r="E60" s="135" t="s">
        <v>67</v>
      </c>
      <c r="F60" s="135" t="s">
        <v>67</v>
      </c>
      <c r="G60" s="105" t="s">
        <v>70</v>
      </c>
      <c r="H60" s="105">
        <v>6.8659999999999997E-3</v>
      </c>
      <c r="I60" s="105">
        <v>0.32549400000000001</v>
      </c>
      <c r="J60" s="125"/>
    </row>
    <row r="61" spans="1:10" ht="12" customHeight="1" x14ac:dyDescent="0.2">
      <c r="A61" s="114" t="s">
        <v>452</v>
      </c>
      <c r="B61" s="135"/>
      <c r="C61" s="135" t="s">
        <v>67</v>
      </c>
      <c r="D61" s="135" t="s">
        <v>67</v>
      </c>
      <c r="E61" s="135" t="s">
        <v>67</v>
      </c>
      <c r="F61" s="135" t="s">
        <v>67</v>
      </c>
      <c r="G61" s="105" t="s">
        <v>69</v>
      </c>
      <c r="H61" s="105" t="s">
        <v>69</v>
      </c>
      <c r="I61" s="105" t="s">
        <v>69</v>
      </c>
      <c r="J61" s="125"/>
    </row>
    <row r="62" spans="1:10" x14ac:dyDescent="0.2">
      <c r="A62" s="29" t="s">
        <v>86</v>
      </c>
      <c r="B62" s="30"/>
      <c r="C62" s="30"/>
      <c r="D62" s="30"/>
      <c r="E62" s="30"/>
      <c r="F62" s="30"/>
      <c r="G62" s="30"/>
      <c r="H62" s="30"/>
      <c r="I62" s="30"/>
      <c r="J62" s="125"/>
    </row>
    <row r="63" spans="1:10" ht="13.5" x14ac:dyDescent="0.2">
      <c r="A63" s="249" t="s">
        <v>453</v>
      </c>
      <c r="B63" s="249"/>
      <c r="C63" s="249"/>
      <c r="D63" s="249"/>
      <c r="E63" s="249"/>
      <c r="F63" s="30"/>
      <c r="G63" s="30"/>
      <c r="H63" s="30"/>
      <c r="I63" s="30"/>
      <c r="J63" s="125"/>
    </row>
    <row r="64" spans="1:10" ht="13.5" x14ac:dyDescent="0.2">
      <c r="A64" s="236" t="s">
        <v>454</v>
      </c>
      <c r="B64" s="236"/>
      <c r="C64" s="236"/>
      <c r="D64" s="236"/>
      <c r="E64" s="236"/>
      <c r="F64" s="236"/>
      <c r="G64" s="236"/>
      <c r="H64" s="236"/>
      <c r="I64" s="236"/>
      <c r="J64" s="125"/>
    </row>
    <row r="65" spans="1:10" ht="13.5" x14ac:dyDescent="0.2">
      <c r="A65" s="249" t="s">
        <v>455</v>
      </c>
      <c r="B65" s="249"/>
      <c r="C65" s="249"/>
      <c r="D65" s="144"/>
      <c r="E65" s="30"/>
      <c r="F65" s="30"/>
      <c r="G65" s="30"/>
      <c r="H65" s="30"/>
      <c r="I65" s="30"/>
      <c r="J65" s="125"/>
    </row>
    <row r="66" spans="1:10" x14ac:dyDescent="0.2">
      <c r="A66" s="251" t="s">
        <v>456</v>
      </c>
      <c r="B66" s="237"/>
      <c r="C66" s="237"/>
      <c r="D66" s="237"/>
      <c r="E66" s="237"/>
      <c r="F66" s="237"/>
      <c r="G66" s="237"/>
      <c r="H66" s="30"/>
      <c r="I66" s="30"/>
      <c r="J66" s="125"/>
    </row>
    <row r="67" spans="1:10" ht="13.5" x14ac:dyDescent="0.2">
      <c r="A67" s="249" t="s">
        <v>457</v>
      </c>
      <c r="B67" s="249"/>
      <c r="C67" s="249"/>
      <c r="D67" s="9"/>
      <c r="E67" s="9"/>
      <c r="F67" s="9"/>
      <c r="G67" s="9"/>
      <c r="H67" s="9"/>
      <c r="I67" s="9"/>
      <c r="J67" s="125"/>
    </row>
    <row r="68" spans="1:10" ht="14.25" x14ac:dyDescent="0.25">
      <c r="A68" s="9" t="s">
        <v>458</v>
      </c>
      <c r="B68" s="9"/>
      <c r="C68" s="9"/>
      <c r="D68" s="9"/>
      <c r="E68" s="9"/>
      <c r="F68" s="9"/>
      <c r="G68" s="9"/>
      <c r="H68" s="9"/>
      <c r="I68" s="9"/>
      <c r="J68" s="125"/>
    </row>
    <row r="69" spans="1:10" x14ac:dyDescent="0.2">
      <c r="A69" s="264" t="s">
        <v>97</v>
      </c>
      <c r="B69" s="277"/>
      <c r="C69" s="277"/>
      <c r="D69" s="90"/>
      <c r="E69" s="145"/>
      <c r="F69" s="145"/>
      <c r="G69" s="145"/>
      <c r="H69" s="145"/>
      <c r="I69" s="146"/>
      <c r="J69" s="9"/>
    </row>
    <row r="70" spans="1:10" ht="33" customHeight="1" x14ac:dyDescent="0.2">
      <c r="A70" s="278" t="s">
        <v>98</v>
      </c>
      <c r="B70" s="279"/>
      <c r="C70" s="279"/>
      <c r="D70" s="279"/>
      <c r="E70" s="279"/>
      <c r="F70" s="279"/>
      <c r="G70" s="279"/>
      <c r="H70" s="279"/>
      <c r="I70" s="280"/>
      <c r="J70" s="9"/>
    </row>
    <row r="71" spans="1:10" x14ac:dyDescent="0.2">
      <c r="A71" s="147" t="s">
        <v>99</v>
      </c>
      <c r="B71" s="275" t="s">
        <v>67</v>
      </c>
      <c r="C71" s="276"/>
      <c r="D71" s="276"/>
      <c r="E71" s="276"/>
      <c r="F71" s="276"/>
      <c r="G71" s="276"/>
      <c r="H71" s="276"/>
      <c r="I71" s="276"/>
      <c r="J71" s="9"/>
    </row>
    <row r="72" spans="1:10" x14ac:dyDescent="0.2">
      <c r="A72" s="147" t="s">
        <v>99</v>
      </c>
      <c r="B72" s="275" t="s">
        <v>67</v>
      </c>
      <c r="C72" s="276"/>
      <c r="D72" s="276"/>
      <c r="E72" s="276"/>
      <c r="F72" s="276"/>
      <c r="G72" s="276"/>
      <c r="H72" s="276"/>
      <c r="I72" s="276"/>
    </row>
    <row r="73" spans="1:10" x14ac:dyDescent="0.2">
      <c r="A73" s="147" t="s">
        <v>99</v>
      </c>
      <c r="B73" s="275" t="s">
        <v>67</v>
      </c>
      <c r="C73" s="276"/>
      <c r="D73" s="276"/>
      <c r="E73" s="276"/>
      <c r="F73" s="276"/>
      <c r="G73" s="276"/>
      <c r="H73" s="276"/>
      <c r="I73" s="276"/>
    </row>
    <row r="74" spans="1:10" x14ac:dyDescent="0.2">
      <c r="A74" s="147" t="s">
        <v>99</v>
      </c>
      <c r="B74" s="275" t="s">
        <v>67</v>
      </c>
      <c r="C74" s="276"/>
      <c r="D74" s="276"/>
      <c r="E74" s="276"/>
      <c r="F74" s="276"/>
      <c r="G74" s="276"/>
      <c r="H74" s="276"/>
      <c r="I74" s="276"/>
    </row>
    <row r="75" spans="1:10" x14ac:dyDescent="0.2">
      <c r="A75" s="147" t="s">
        <v>99</v>
      </c>
      <c r="B75" s="275" t="s">
        <v>67</v>
      </c>
      <c r="C75" s="276"/>
      <c r="D75" s="276"/>
      <c r="E75" s="276"/>
      <c r="F75" s="276"/>
      <c r="G75" s="276"/>
      <c r="H75" s="276"/>
      <c r="I75" s="276"/>
    </row>
  </sheetData>
  <mergeCells count="18">
    <mergeCell ref="A2:C2"/>
    <mergeCell ref="B5:B7"/>
    <mergeCell ref="D5:F5"/>
    <mergeCell ref="G5:I5"/>
    <mergeCell ref="A6:A7"/>
    <mergeCell ref="G7:I7"/>
    <mergeCell ref="B75:I75"/>
    <mergeCell ref="A63:E63"/>
    <mergeCell ref="A64:I64"/>
    <mergeCell ref="A65:C65"/>
    <mergeCell ref="A66:G66"/>
    <mergeCell ref="A67:C67"/>
    <mergeCell ref="A69:C69"/>
    <mergeCell ref="A70:I70"/>
    <mergeCell ref="B71:I71"/>
    <mergeCell ref="B72:I72"/>
    <mergeCell ref="B73:I73"/>
    <mergeCell ref="B74:I74"/>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7"/>
  <sheetViews>
    <sheetView topLeftCell="A10" workbookViewId="0">
      <selection activeCell="B19" sqref="B19"/>
    </sheetView>
  </sheetViews>
  <sheetFormatPr defaultColWidth="8" defaultRowHeight="12" x14ac:dyDescent="0.2"/>
  <cols>
    <col min="1" max="1" width="65.85546875" style="11" customWidth="1"/>
    <col min="2" max="2" width="30.85546875" style="11" customWidth="1"/>
    <col min="3" max="3" width="33.140625" style="11" customWidth="1"/>
    <col min="4" max="4" width="30.85546875" style="11" customWidth="1"/>
    <col min="5" max="5" width="1.140625" style="11" customWidth="1"/>
    <col min="6" max="9" width="11" style="11" customWidth="1"/>
    <col min="10" max="16384" width="8" style="11"/>
  </cols>
  <sheetData>
    <row r="1" spans="1:7" ht="15.75" x14ac:dyDescent="0.25">
      <c r="A1" s="8" t="s">
        <v>372</v>
      </c>
      <c r="B1" s="37"/>
      <c r="C1" s="37"/>
      <c r="D1" s="10" t="s">
        <v>36</v>
      </c>
      <c r="E1" s="10"/>
      <c r="F1" s="10"/>
      <c r="G1" s="10"/>
    </row>
    <row r="2" spans="1:7" ht="15.75" x14ac:dyDescent="0.2">
      <c r="A2" s="291" t="s">
        <v>373</v>
      </c>
      <c r="B2" s="292"/>
      <c r="C2" s="292"/>
      <c r="D2" s="10" t="s">
        <v>38</v>
      </c>
      <c r="E2" s="10"/>
      <c r="F2" s="10"/>
      <c r="G2" s="10"/>
    </row>
    <row r="3" spans="1:7" ht="18.75" x14ac:dyDescent="0.2">
      <c r="A3" s="108" t="s">
        <v>374</v>
      </c>
      <c r="B3" s="109"/>
      <c r="C3" s="109"/>
      <c r="D3" s="110" t="s">
        <v>41</v>
      </c>
      <c r="E3" s="10"/>
      <c r="F3" s="10"/>
      <c r="G3" s="10"/>
    </row>
    <row r="4" spans="1:7" ht="15.75" x14ac:dyDescent="0.25">
      <c r="A4" s="111" t="s">
        <v>39</v>
      </c>
      <c r="B4" s="37"/>
      <c r="C4" s="37"/>
      <c r="D4" s="9"/>
      <c r="E4" s="10"/>
      <c r="F4" s="10"/>
      <c r="G4" s="10"/>
    </row>
    <row r="5" spans="1:7" x14ac:dyDescent="0.2">
      <c r="A5" s="9"/>
      <c r="B5" s="9"/>
      <c r="C5" s="9"/>
      <c r="D5" s="9"/>
      <c r="E5" s="9"/>
      <c r="F5" s="9"/>
      <c r="G5" s="9"/>
    </row>
    <row r="6" spans="1:7" x14ac:dyDescent="0.2">
      <c r="A6" s="32" t="s">
        <v>42</v>
      </c>
      <c r="B6" s="80" t="s">
        <v>43</v>
      </c>
      <c r="C6" s="80" t="s">
        <v>103</v>
      </c>
      <c r="D6" s="78" t="s">
        <v>375</v>
      </c>
      <c r="E6" s="9"/>
      <c r="F6" s="9"/>
      <c r="G6" s="9"/>
    </row>
    <row r="7" spans="1:7" ht="18" customHeight="1" x14ac:dyDescent="0.2">
      <c r="A7" s="293" t="s">
        <v>376</v>
      </c>
      <c r="B7" s="80" t="s">
        <v>377</v>
      </c>
      <c r="C7" s="80" t="s">
        <v>378</v>
      </c>
      <c r="D7" s="80" t="s">
        <v>107</v>
      </c>
      <c r="E7" s="9"/>
      <c r="F7" s="9"/>
      <c r="G7" s="9"/>
    </row>
    <row r="8" spans="1:7" ht="20.25" customHeight="1" thickBot="1" x14ac:dyDescent="0.25">
      <c r="A8" s="294"/>
      <c r="B8" s="83" t="s">
        <v>379</v>
      </c>
      <c r="C8" s="83" t="s">
        <v>380</v>
      </c>
      <c r="D8" s="112" t="s">
        <v>65</v>
      </c>
      <c r="E8" s="9"/>
      <c r="F8" s="9"/>
      <c r="G8" s="9"/>
    </row>
    <row r="9" spans="1:7" ht="12.75" thickTop="1" x14ac:dyDescent="0.2">
      <c r="A9" s="113" t="s">
        <v>381</v>
      </c>
      <c r="B9" s="105">
        <v>369.80500000000001</v>
      </c>
      <c r="C9" s="105">
        <v>0.16984381203362001</v>
      </c>
      <c r="D9" s="105">
        <v>9.8699999999999996E-2</v>
      </c>
      <c r="E9" s="9"/>
      <c r="F9" s="9"/>
      <c r="G9" s="9"/>
    </row>
    <row r="10" spans="1:7" x14ac:dyDescent="0.2">
      <c r="A10" s="114" t="s">
        <v>382</v>
      </c>
      <c r="B10" s="105">
        <v>52.671999999999997</v>
      </c>
      <c r="C10" s="105">
        <v>1.4497956478520001E-2</v>
      </c>
      <c r="D10" s="105">
        <v>1.1999999999999999E-3</v>
      </c>
      <c r="E10" s="9"/>
      <c r="F10" s="9"/>
      <c r="G10" s="9"/>
    </row>
    <row r="11" spans="1:7" x14ac:dyDescent="0.2">
      <c r="A11" s="115" t="s">
        <v>312</v>
      </c>
      <c r="B11" s="104" t="s">
        <v>69</v>
      </c>
      <c r="C11" s="105" t="s">
        <v>69</v>
      </c>
      <c r="D11" s="104" t="s">
        <v>69</v>
      </c>
      <c r="E11" s="9"/>
      <c r="F11" s="9"/>
      <c r="G11" s="9"/>
    </row>
    <row r="12" spans="1:7" ht="13.5" x14ac:dyDescent="0.2">
      <c r="A12" s="115" t="s">
        <v>383</v>
      </c>
      <c r="B12" s="105">
        <v>52.671999999999997</v>
      </c>
      <c r="C12" s="105">
        <v>1.4497956478520001E-2</v>
      </c>
      <c r="D12" s="105">
        <v>1.1999999999999999E-3</v>
      </c>
      <c r="E12" s="9"/>
      <c r="F12" s="9"/>
      <c r="G12" s="9"/>
    </row>
    <row r="13" spans="1:7" x14ac:dyDescent="0.2">
      <c r="A13" s="116" t="s">
        <v>384</v>
      </c>
      <c r="B13" s="104">
        <v>13.18</v>
      </c>
      <c r="C13" s="105" t="s">
        <v>69</v>
      </c>
      <c r="D13" s="104" t="s">
        <v>69</v>
      </c>
      <c r="E13" s="9"/>
      <c r="F13" s="9"/>
      <c r="G13" s="9"/>
    </row>
    <row r="14" spans="1:7" x14ac:dyDescent="0.2">
      <c r="A14" s="116" t="s">
        <v>385</v>
      </c>
      <c r="B14" s="104">
        <v>24.023</v>
      </c>
      <c r="C14" s="105">
        <v>1.324488274495E-2</v>
      </c>
      <c r="D14" s="104">
        <v>5.0000000000000001E-4</v>
      </c>
    </row>
    <row r="15" spans="1:7" x14ac:dyDescent="0.2">
      <c r="A15" s="116" t="s">
        <v>386</v>
      </c>
      <c r="B15" s="104">
        <v>0.66700000000000004</v>
      </c>
      <c r="C15" s="105">
        <v>0.66784789423470003</v>
      </c>
      <c r="D15" s="104">
        <v>6.9999999999999999E-4</v>
      </c>
    </row>
    <row r="16" spans="1:7" x14ac:dyDescent="0.2">
      <c r="A16" s="116" t="s">
        <v>387</v>
      </c>
      <c r="B16" s="104">
        <v>14.195</v>
      </c>
      <c r="C16" s="105" t="s">
        <v>69</v>
      </c>
      <c r="D16" s="104" t="s">
        <v>69</v>
      </c>
    </row>
    <row r="17" spans="1:7" x14ac:dyDescent="0.2">
      <c r="A17" s="116" t="s">
        <v>388</v>
      </c>
      <c r="B17" s="104">
        <v>0.60699999999999998</v>
      </c>
      <c r="C17" s="105" t="s">
        <v>69</v>
      </c>
      <c r="D17" s="104" t="s">
        <v>69</v>
      </c>
    </row>
    <row r="18" spans="1:7" ht="14.25" x14ac:dyDescent="0.2">
      <c r="A18" s="114" t="s">
        <v>389</v>
      </c>
      <c r="B18" s="105">
        <v>71.427999999999997</v>
      </c>
      <c r="C18" s="105">
        <v>0.23252913296034</v>
      </c>
      <c r="D18" s="105">
        <v>2.6100000000000002E-2</v>
      </c>
      <c r="E18" s="9"/>
      <c r="F18" s="9"/>
      <c r="G18" s="9"/>
    </row>
    <row r="19" spans="1:7" ht="13.5" x14ac:dyDescent="0.2">
      <c r="A19" s="115" t="s">
        <v>390</v>
      </c>
      <c r="B19" s="105">
        <v>71.427999999999997</v>
      </c>
      <c r="C19" s="105">
        <v>0.23252913296034</v>
      </c>
      <c r="D19" s="105">
        <v>2.6100000000000002E-2</v>
      </c>
      <c r="E19" s="9"/>
      <c r="F19" s="9"/>
      <c r="G19" s="9"/>
    </row>
    <row r="20" spans="1:7" x14ac:dyDescent="0.2">
      <c r="A20" s="116" t="s">
        <v>391</v>
      </c>
      <c r="B20" s="104">
        <v>63.642000000000003</v>
      </c>
      <c r="C20" s="105">
        <v>0.24097865617617001</v>
      </c>
      <c r="D20" s="104">
        <v>2.41E-2</v>
      </c>
      <c r="E20" s="9"/>
      <c r="F20" s="9"/>
      <c r="G20" s="9"/>
    </row>
    <row r="21" spans="1:7" x14ac:dyDescent="0.2">
      <c r="A21" s="116" t="s">
        <v>392</v>
      </c>
      <c r="B21" s="104">
        <v>6.3550000000000004</v>
      </c>
      <c r="C21" s="105">
        <v>0.19025820756740999</v>
      </c>
      <c r="D21" s="104">
        <v>1.9E-3</v>
      </c>
    </row>
    <row r="22" spans="1:7" x14ac:dyDescent="0.2">
      <c r="A22" s="116" t="s">
        <v>393</v>
      </c>
      <c r="B22" s="104" t="s">
        <v>69</v>
      </c>
      <c r="C22" s="105" t="s">
        <v>69</v>
      </c>
      <c r="D22" s="104" t="s">
        <v>69</v>
      </c>
    </row>
    <row r="23" spans="1:7" x14ac:dyDescent="0.2">
      <c r="A23" s="116" t="s">
        <v>394</v>
      </c>
      <c r="B23" s="104">
        <v>1.431</v>
      </c>
      <c r="C23" s="105">
        <v>4.4469855790609997E-2</v>
      </c>
      <c r="D23" s="104">
        <v>1E-4</v>
      </c>
    </row>
    <row r="24" spans="1:7" x14ac:dyDescent="0.2">
      <c r="A24" s="114" t="s">
        <v>395</v>
      </c>
      <c r="B24" s="105">
        <v>53.23</v>
      </c>
      <c r="C24" s="105">
        <v>2.869195429782E-2</v>
      </c>
      <c r="D24" s="105">
        <v>2.3999999999999998E-3</v>
      </c>
      <c r="E24" s="9"/>
      <c r="F24" s="9"/>
      <c r="G24" s="9"/>
    </row>
    <row r="25" spans="1:7" x14ac:dyDescent="0.2">
      <c r="A25" s="115" t="s">
        <v>396</v>
      </c>
      <c r="B25" s="104" t="s">
        <v>69</v>
      </c>
      <c r="C25" s="105" t="s">
        <v>69</v>
      </c>
      <c r="D25" s="104" t="s">
        <v>69</v>
      </c>
      <c r="E25" s="9"/>
      <c r="F25" s="9"/>
      <c r="G25" s="9"/>
    </row>
    <row r="26" spans="1:7" ht="13.5" x14ac:dyDescent="0.2">
      <c r="A26" s="115" t="s">
        <v>397</v>
      </c>
      <c r="B26" s="105">
        <v>53.23</v>
      </c>
      <c r="C26" s="105">
        <v>2.869195429782E-2</v>
      </c>
      <c r="D26" s="105">
        <v>2.3999999999999998E-3</v>
      </c>
      <c r="E26" s="9"/>
      <c r="F26" s="9"/>
      <c r="G26" s="9"/>
    </row>
    <row r="27" spans="1:7" x14ac:dyDescent="0.2">
      <c r="A27" s="116" t="s">
        <v>398</v>
      </c>
      <c r="B27" s="104">
        <v>11.407</v>
      </c>
      <c r="C27" s="105">
        <v>0.1227316560007</v>
      </c>
      <c r="D27" s="104">
        <v>2.2000000000000001E-3</v>
      </c>
      <c r="E27" s="9"/>
      <c r="F27" s="9"/>
      <c r="G27" s="9"/>
    </row>
    <row r="28" spans="1:7" x14ac:dyDescent="0.2">
      <c r="A28" s="116" t="s">
        <v>399</v>
      </c>
      <c r="B28" s="104">
        <v>40.069000000000003</v>
      </c>
      <c r="C28" s="105" t="s">
        <v>69</v>
      </c>
      <c r="D28" s="104" t="s">
        <v>69</v>
      </c>
    </row>
    <row r="29" spans="1:7" x14ac:dyDescent="0.2">
      <c r="A29" s="116" t="s">
        <v>400</v>
      </c>
      <c r="B29" s="104">
        <v>0.871</v>
      </c>
      <c r="C29" s="105">
        <v>0.14612253418224</v>
      </c>
      <c r="D29" s="104">
        <v>2.0000000000000001E-4</v>
      </c>
    </row>
    <row r="30" spans="1:7" x14ac:dyDescent="0.2">
      <c r="A30" s="116" t="s">
        <v>401</v>
      </c>
      <c r="B30" s="104">
        <v>0.88300000000000001</v>
      </c>
      <c r="C30" s="105" t="s">
        <v>69</v>
      </c>
      <c r="D30" s="104" t="s">
        <v>69</v>
      </c>
    </row>
    <row r="31" spans="1:7" x14ac:dyDescent="0.2">
      <c r="A31" s="114" t="s">
        <v>402</v>
      </c>
      <c r="B31" s="105" t="s">
        <v>311</v>
      </c>
      <c r="C31" s="105" t="s">
        <v>311</v>
      </c>
      <c r="D31" s="105" t="s">
        <v>311</v>
      </c>
      <c r="E31" s="9"/>
      <c r="F31" s="9"/>
      <c r="G31" s="9"/>
    </row>
    <row r="32" spans="1:7" x14ac:dyDescent="0.2">
      <c r="A32" s="115" t="s">
        <v>403</v>
      </c>
      <c r="B32" s="104" t="s">
        <v>311</v>
      </c>
      <c r="C32" s="105" t="s">
        <v>311</v>
      </c>
      <c r="D32" s="104" t="s">
        <v>311</v>
      </c>
      <c r="E32" s="9"/>
      <c r="F32" s="9"/>
      <c r="G32" s="9"/>
    </row>
    <row r="33" spans="1:7" ht="13.5" x14ac:dyDescent="0.2">
      <c r="A33" s="115" t="s">
        <v>404</v>
      </c>
      <c r="B33" s="105" t="s">
        <v>311</v>
      </c>
      <c r="C33" s="105" t="s">
        <v>311</v>
      </c>
      <c r="D33" s="105" t="s">
        <v>311</v>
      </c>
      <c r="E33" s="9"/>
      <c r="F33" s="9"/>
      <c r="G33" s="9"/>
    </row>
    <row r="34" spans="1:7" x14ac:dyDescent="0.2">
      <c r="A34" s="117" t="s">
        <v>405</v>
      </c>
      <c r="B34" s="105">
        <v>192.47499999999999</v>
      </c>
      <c r="C34" s="105">
        <v>0.22812880067069</v>
      </c>
      <c r="D34" s="105">
        <v>6.9000000000000006E-2</v>
      </c>
      <c r="E34" s="9"/>
      <c r="F34" s="9"/>
      <c r="G34" s="9"/>
    </row>
    <row r="35" spans="1:7" x14ac:dyDescent="0.2">
      <c r="A35" s="115" t="s">
        <v>406</v>
      </c>
      <c r="B35" s="104" t="s">
        <v>69</v>
      </c>
      <c r="C35" s="105" t="s">
        <v>69</v>
      </c>
      <c r="D35" s="104" t="s">
        <v>69</v>
      </c>
      <c r="E35" s="9"/>
      <c r="F35" s="9"/>
      <c r="G35" s="9"/>
    </row>
    <row r="36" spans="1:7" ht="13.5" x14ac:dyDescent="0.2">
      <c r="A36" s="115" t="s">
        <v>407</v>
      </c>
      <c r="B36" s="105">
        <v>192.47499999999999</v>
      </c>
      <c r="C36" s="105">
        <v>0.22812880067069</v>
      </c>
      <c r="D36" s="105">
        <v>6.9000000000000006E-2</v>
      </c>
      <c r="E36" s="9"/>
      <c r="F36" s="9"/>
      <c r="G36" s="9"/>
    </row>
    <row r="37" spans="1:7" x14ac:dyDescent="0.2">
      <c r="A37" s="116" t="s">
        <v>408</v>
      </c>
      <c r="B37" s="104">
        <v>192.47499999999999</v>
      </c>
      <c r="C37" s="105">
        <v>0.22812880067069</v>
      </c>
      <c r="D37" s="104">
        <v>6.9000000000000006E-2</v>
      </c>
      <c r="E37" s="9"/>
      <c r="F37" s="9"/>
      <c r="G37" s="9"/>
    </row>
    <row r="38" spans="1:7" x14ac:dyDescent="0.2">
      <c r="A38" s="117" t="s">
        <v>409</v>
      </c>
      <c r="B38" s="104" t="s">
        <v>69</v>
      </c>
      <c r="C38" s="105" t="s">
        <v>69</v>
      </c>
      <c r="D38" s="104" t="s">
        <v>69</v>
      </c>
      <c r="E38" s="9"/>
      <c r="F38" s="9"/>
      <c r="G38" s="9"/>
    </row>
    <row r="39" spans="1:7" x14ac:dyDescent="0.2">
      <c r="A39" s="118" t="s">
        <v>86</v>
      </c>
      <c r="B39" s="119"/>
      <c r="C39" s="119"/>
      <c r="D39" s="119"/>
      <c r="E39" s="9"/>
      <c r="F39" s="9"/>
      <c r="G39" s="9"/>
    </row>
    <row r="40" spans="1:7" ht="33" customHeight="1" x14ac:dyDescent="0.2">
      <c r="A40" s="236" t="s">
        <v>410</v>
      </c>
      <c r="B40" s="236"/>
      <c r="C40" s="236"/>
      <c r="D40" s="236"/>
      <c r="E40" s="9"/>
      <c r="F40" s="9"/>
      <c r="G40" s="9"/>
    </row>
    <row r="41" spans="1:7" ht="14.25" x14ac:dyDescent="0.25">
      <c r="A41" s="120" t="s">
        <v>411</v>
      </c>
      <c r="B41" s="30"/>
      <c r="C41" s="30"/>
      <c r="D41" s="30"/>
      <c r="E41" s="9"/>
      <c r="F41" s="9"/>
      <c r="G41" s="9"/>
    </row>
    <row r="42" spans="1:7" ht="13.5" x14ac:dyDescent="0.2">
      <c r="A42" s="249" t="s">
        <v>412</v>
      </c>
      <c r="B42" s="249"/>
      <c r="C42" s="30"/>
      <c r="D42" s="30"/>
      <c r="E42" s="9"/>
      <c r="F42" s="9"/>
      <c r="G42" s="9"/>
    </row>
    <row r="43" spans="1:7" ht="13.5" x14ac:dyDescent="0.2">
      <c r="A43" s="251" t="s">
        <v>413</v>
      </c>
      <c r="B43" s="251"/>
      <c r="C43" s="251"/>
      <c r="D43" s="251"/>
      <c r="E43" s="9"/>
      <c r="F43" s="9"/>
      <c r="G43" s="9"/>
    </row>
    <row r="44" spans="1:7" ht="27.75" customHeight="1" x14ac:dyDescent="0.2">
      <c r="A44" s="251" t="s">
        <v>414</v>
      </c>
      <c r="B44" s="251"/>
      <c r="C44" s="251"/>
      <c r="D44" s="251"/>
      <c r="E44" s="9"/>
      <c r="F44" s="9"/>
      <c r="G44" s="9"/>
    </row>
    <row r="45" spans="1:7" ht="13.5" x14ac:dyDescent="0.2">
      <c r="A45" s="251"/>
      <c r="B45" s="251"/>
      <c r="C45" s="251"/>
      <c r="D45" s="251"/>
      <c r="E45" s="9"/>
      <c r="F45" s="9"/>
      <c r="G45" s="9"/>
    </row>
    <row r="46" spans="1:7" x14ac:dyDescent="0.2">
      <c r="A46" s="121" t="s">
        <v>97</v>
      </c>
      <c r="B46" s="122"/>
      <c r="C46" s="122"/>
      <c r="D46" s="123"/>
      <c r="E46" s="9"/>
      <c r="F46" s="9"/>
      <c r="G46" s="9"/>
    </row>
    <row r="47" spans="1:7" ht="12.75" customHeight="1" x14ac:dyDescent="0.2">
      <c r="A47" s="278" t="s">
        <v>98</v>
      </c>
      <c r="B47" s="288"/>
      <c r="C47" s="288"/>
      <c r="D47" s="289"/>
      <c r="E47" s="124"/>
      <c r="F47" s="124"/>
      <c r="G47" s="124"/>
    </row>
    <row r="48" spans="1:7" x14ac:dyDescent="0.2">
      <c r="A48" s="77" t="s">
        <v>99</v>
      </c>
      <c r="B48" s="275" t="s">
        <v>67</v>
      </c>
      <c r="C48" s="290"/>
      <c r="D48" s="290"/>
      <c r="E48" s="9"/>
      <c r="F48" s="9"/>
      <c r="G48" s="9"/>
    </row>
    <row r="49" spans="1:4" x14ac:dyDescent="0.2">
      <c r="A49" s="77" t="s">
        <v>99</v>
      </c>
      <c r="B49" s="275" t="s">
        <v>67</v>
      </c>
      <c r="C49" s="290"/>
      <c r="D49" s="290"/>
    </row>
    <row r="50" spans="1:4" ht="12" customHeight="1" x14ac:dyDescent="0.2">
      <c r="A50" s="77" t="s">
        <v>99</v>
      </c>
      <c r="B50" s="275" t="s">
        <v>67</v>
      </c>
      <c r="C50" s="287"/>
      <c r="D50" s="287"/>
    </row>
    <row r="51" spans="1:4" ht="12" customHeight="1" x14ac:dyDescent="0.2">
      <c r="A51" s="77" t="s">
        <v>99</v>
      </c>
      <c r="B51" s="275" t="s">
        <v>67</v>
      </c>
      <c r="C51" s="287"/>
      <c r="D51" s="287"/>
    </row>
    <row r="52" spans="1:4" ht="12" customHeight="1" x14ac:dyDescent="0.2">
      <c r="A52" s="77" t="s">
        <v>99</v>
      </c>
      <c r="B52" s="275" t="s">
        <v>67</v>
      </c>
      <c r="C52" s="290"/>
      <c r="D52" s="290"/>
    </row>
    <row r="53" spans="1:4" ht="15" x14ac:dyDescent="0.2">
      <c r="A53" s="77" t="s">
        <v>99</v>
      </c>
      <c r="B53" s="275" t="s">
        <v>67</v>
      </c>
      <c r="C53" s="287"/>
      <c r="D53" s="287"/>
    </row>
    <row r="54" spans="1:4" ht="12" customHeight="1" x14ac:dyDescent="0.2">
      <c r="A54" s="77" t="s">
        <v>99</v>
      </c>
      <c r="B54" s="275" t="s">
        <v>67</v>
      </c>
      <c r="C54" s="287"/>
      <c r="D54" s="287"/>
    </row>
    <row r="55" spans="1:4" ht="12" customHeight="1" x14ac:dyDescent="0.2">
      <c r="A55" s="77" t="s">
        <v>99</v>
      </c>
      <c r="B55" s="275" t="s">
        <v>67</v>
      </c>
      <c r="C55" s="287"/>
      <c r="D55" s="287"/>
    </row>
    <row r="56" spans="1:4" ht="12" customHeight="1" x14ac:dyDescent="0.2">
      <c r="A56" s="77" t="s">
        <v>99</v>
      </c>
      <c r="B56" s="275" t="s">
        <v>67</v>
      </c>
      <c r="C56" s="287"/>
      <c r="D56" s="287"/>
    </row>
    <row r="57" spans="1:4" ht="12" customHeight="1" x14ac:dyDescent="0.2">
      <c r="A57" s="77" t="s">
        <v>99</v>
      </c>
      <c r="B57" s="275" t="s">
        <v>67</v>
      </c>
      <c r="C57" s="287"/>
      <c r="D57" s="287"/>
    </row>
  </sheetData>
  <mergeCells count="18">
    <mergeCell ref="A44:D44"/>
    <mergeCell ref="A2:C2"/>
    <mergeCell ref="A7:A8"/>
    <mergeCell ref="A40:D40"/>
    <mergeCell ref="A42:B42"/>
    <mergeCell ref="A43:D43"/>
    <mergeCell ref="B57:D57"/>
    <mergeCell ref="A45:D45"/>
    <mergeCell ref="A47:D47"/>
    <mergeCell ref="B48:D48"/>
    <mergeCell ref="B49:D49"/>
    <mergeCell ref="B50:D50"/>
    <mergeCell ref="B51:D51"/>
    <mergeCell ref="B52:D52"/>
    <mergeCell ref="B53:D53"/>
    <mergeCell ref="B54:D54"/>
    <mergeCell ref="B55:D55"/>
    <mergeCell ref="B56:D56"/>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9"/>
  <sheetViews>
    <sheetView workbookViewId="0">
      <pane xSplit="1" topLeftCell="D1" activePane="topRight" state="frozen"/>
      <selection pane="topRight" activeCell="J4" sqref="J4"/>
    </sheetView>
  </sheetViews>
  <sheetFormatPr defaultColWidth="8" defaultRowHeight="12" x14ac:dyDescent="0.2"/>
  <cols>
    <col min="1" max="1" width="45.85546875" style="11" customWidth="1"/>
    <col min="2" max="2" width="14.85546875" style="11" customWidth="1"/>
    <col min="3" max="18" width="11.85546875" style="11" customWidth="1"/>
    <col min="19" max="19" width="1.140625" style="11" customWidth="1"/>
    <col min="20" max="16384" width="8" style="11"/>
  </cols>
  <sheetData>
    <row r="1" spans="1:20" ht="20.100000000000001" customHeight="1" x14ac:dyDescent="0.25">
      <c r="A1" s="8" t="s">
        <v>35</v>
      </c>
      <c r="B1" s="9"/>
      <c r="C1" s="9"/>
      <c r="D1" s="9"/>
      <c r="E1" s="9"/>
      <c r="F1" s="9"/>
      <c r="G1" s="9"/>
      <c r="H1" s="9"/>
      <c r="I1" s="9"/>
      <c r="J1" s="9"/>
      <c r="K1" s="9"/>
      <c r="L1" s="9"/>
      <c r="M1" s="9"/>
      <c r="N1" s="9"/>
      <c r="O1" s="9"/>
      <c r="P1" s="9"/>
      <c r="Q1" s="9"/>
      <c r="R1" s="10" t="s">
        <v>36</v>
      </c>
      <c r="S1" s="9"/>
      <c r="T1" s="9"/>
    </row>
    <row r="2" spans="1:20" ht="15.75" x14ac:dyDescent="0.25">
      <c r="A2" s="8" t="s">
        <v>37</v>
      </c>
      <c r="B2" s="9"/>
      <c r="C2" s="9"/>
      <c r="D2" s="9"/>
      <c r="E2" s="9"/>
      <c r="F2" s="9"/>
      <c r="G2" s="9"/>
      <c r="H2" s="9"/>
      <c r="I2" s="9"/>
      <c r="J2" s="9"/>
      <c r="K2" s="9"/>
      <c r="L2" s="9"/>
      <c r="M2" s="9"/>
      <c r="N2" s="9"/>
      <c r="O2" s="9"/>
      <c r="P2" s="9"/>
      <c r="Q2" s="9"/>
      <c r="R2" s="10" t="s">
        <v>38</v>
      </c>
      <c r="S2" s="9"/>
      <c r="T2" s="9"/>
    </row>
    <row r="3" spans="1:20" ht="15.75" x14ac:dyDescent="0.25">
      <c r="A3" s="8" t="s">
        <v>39</v>
      </c>
      <c r="B3" s="9"/>
      <c r="C3" s="9"/>
      <c r="D3" s="9"/>
      <c r="E3" s="9" t="s">
        <v>40</v>
      </c>
      <c r="F3" s="9"/>
      <c r="G3" s="9"/>
      <c r="H3" s="9"/>
      <c r="I3" s="9"/>
      <c r="J3" s="9" t="s">
        <v>267</v>
      </c>
      <c r="K3" s="9" t="s">
        <v>268</v>
      </c>
      <c r="L3" s="9"/>
      <c r="M3" s="9"/>
      <c r="N3" s="9"/>
      <c r="O3" s="9"/>
      <c r="P3" s="9"/>
      <c r="Q3" s="9"/>
      <c r="R3" s="10" t="s">
        <v>41</v>
      </c>
      <c r="S3" s="9"/>
      <c r="T3" s="9"/>
    </row>
    <row r="4" spans="1:20" ht="12" customHeight="1" x14ac:dyDescent="0.2">
      <c r="A4" s="12"/>
      <c r="B4" s="13"/>
      <c r="C4" s="13"/>
      <c r="D4" s="13"/>
      <c r="E4" s="14">
        <f>E10/SUM(D10:E10)</f>
        <v>0.10828842678954895</v>
      </c>
      <c r="F4" s="13"/>
      <c r="G4" s="13"/>
      <c r="H4" s="13"/>
      <c r="I4" s="13"/>
      <c r="J4" s="13">
        <f>44/12*J11</f>
        <v>-0.30552932107430331</v>
      </c>
      <c r="K4" s="13">
        <f>44/12*K11</f>
        <v>-23.840434864031057</v>
      </c>
      <c r="L4" s="13"/>
      <c r="M4" s="13"/>
      <c r="N4" s="13"/>
      <c r="O4" s="15"/>
      <c r="P4" s="75"/>
      <c r="Q4" s="75"/>
      <c r="R4" s="15"/>
      <c r="S4" s="9"/>
      <c r="T4" s="9"/>
    </row>
    <row r="5" spans="1:20" ht="30" customHeight="1" x14ac:dyDescent="0.2">
      <c r="A5" s="264" t="s">
        <v>42</v>
      </c>
      <c r="B5" s="265"/>
      <c r="C5" s="266" t="s">
        <v>43</v>
      </c>
      <c r="D5" s="267"/>
      <c r="E5" s="268"/>
      <c r="F5" s="266" t="s">
        <v>44</v>
      </c>
      <c r="G5" s="267"/>
      <c r="H5" s="267"/>
      <c r="I5" s="267"/>
      <c r="J5" s="267"/>
      <c r="K5" s="268"/>
      <c r="L5" s="266" t="s">
        <v>45</v>
      </c>
      <c r="M5" s="267"/>
      <c r="N5" s="267"/>
      <c r="O5" s="267"/>
      <c r="P5" s="267"/>
      <c r="Q5" s="268"/>
      <c r="R5" s="258" t="s">
        <v>46</v>
      </c>
      <c r="S5" s="9"/>
      <c r="T5" s="9"/>
    </row>
    <row r="6" spans="1:20" ht="47.25" customHeight="1" x14ac:dyDescent="0.2">
      <c r="A6" s="269" t="s">
        <v>47</v>
      </c>
      <c r="B6" s="258" t="s">
        <v>48</v>
      </c>
      <c r="C6" s="258" t="s">
        <v>49</v>
      </c>
      <c r="D6" s="258" t="s">
        <v>50</v>
      </c>
      <c r="E6" s="254" t="s">
        <v>51</v>
      </c>
      <c r="F6" s="252" t="s">
        <v>52</v>
      </c>
      <c r="G6" s="253"/>
      <c r="H6" s="254"/>
      <c r="I6" s="258" t="s">
        <v>53</v>
      </c>
      <c r="J6" s="252" t="s">
        <v>54</v>
      </c>
      <c r="K6" s="254"/>
      <c r="L6" s="252" t="s">
        <v>55</v>
      </c>
      <c r="M6" s="253"/>
      <c r="N6" s="254"/>
      <c r="O6" s="258" t="s">
        <v>56</v>
      </c>
      <c r="P6" s="252" t="s">
        <v>57</v>
      </c>
      <c r="Q6" s="254"/>
      <c r="R6" s="259"/>
      <c r="S6" s="9"/>
      <c r="T6" s="9"/>
    </row>
    <row r="7" spans="1:20" ht="12.75" customHeight="1" x14ac:dyDescent="0.2">
      <c r="A7" s="270"/>
      <c r="B7" s="259"/>
      <c r="C7" s="259"/>
      <c r="D7" s="259"/>
      <c r="E7" s="273"/>
      <c r="F7" s="255"/>
      <c r="G7" s="256"/>
      <c r="H7" s="257"/>
      <c r="I7" s="259"/>
      <c r="J7" s="255"/>
      <c r="K7" s="257"/>
      <c r="L7" s="255"/>
      <c r="M7" s="256"/>
      <c r="N7" s="257"/>
      <c r="O7" s="259"/>
      <c r="P7" s="255"/>
      <c r="Q7" s="257"/>
      <c r="R7" s="259"/>
      <c r="S7" s="9"/>
      <c r="T7" s="9"/>
    </row>
    <row r="8" spans="1:20" ht="25.5" customHeight="1" x14ac:dyDescent="0.2">
      <c r="A8" s="270"/>
      <c r="B8" s="259"/>
      <c r="C8" s="259"/>
      <c r="D8" s="259"/>
      <c r="E8" s="273"/>
      <c r="F8" s="16" t="s">
        <v>58</v>
      </c>
      <c r="G8" s="16" t="s">
        <v>59</v>
      </c>
      <c r="H8" s="16" t="s">
        <v>60</v>
      </c>
      <c r="I8" s="260"/>
      <c r="J8" s="17" t="s">
        <v>61</v>
      </c>
      <c r="K8" s="18" t="s">
        <v>62</v>
      </c>
      <c r="L8" s="16" t="s">
        <v>58</v>
      </c>
      <c r="M8" s="16" t="s">
        <v>59</v>
      </c>
      <c r="N8" s="16" t="s">
        <v>60</v>
      </c>
      <c r="O8" s="260"/>
      <c r="P8" s="17" t="s">
        <v>61</v>
      </c>
      <c r="Q8" s="18" t="s">
        <v>62</v>
      </c>
      <c r="R8" s="260"/>
      <c r="S8" s="9"/>
      <c r="T8" s="9"/>
    </row>
    <row r="9" spans="1:20" ht="15.95" customHeight="1" thickBot="1" x14ac:dyDescent="0.25">
      <c r="A9" s="271"/>
      <c r="B9" s="272"/>
      <c r="C9" s="272"/>
      <c r="D9" s="272"/>
      <c r="E9" s="274"/>
      <c r="F9" s="261" t="s">
        <v>63</v>
      </c>
      <c r="G9" s="262"/>
      <c r="H9" s="262"/>
      <c r="I9" s="262"/>
      <c r="J9" s="262"/>
      <c r="K9" s="263"/>
      <c r="L9" s="261" t="s">
        <v>64</v>
      </c>
      <c r="M9" s="262"/>
      <c r="N9" s="262"/>
      <c r="O9" s="262"/>
      <c r="P9" s="262"/>
      <c r="Q9" s="263"/>
      <c r="R9" s="19" t="s">
        <v>65</v>
      </c>
      <c r="S9" s="9"/>
      <c r="T9" s="9"/>
    </row>
    <row r="10" spans="1:20" ht="12.75" thickTop="1" x14ac:dyDescent="0.2">
      <c r="A10" s="20" t="s">
        <v>66</v>
      </c>
      <c r="B10" s="21" t="s">
        <v>67</v>
      </c>
      <c r="C10" s="22">
        <v>2496.4810000000002</v>
      </c>
      <c r="D10" s="22">
        <v>2226.1410000000001</v>
      </c>
      <c r="E10" s="22">
        <v>270.33999999999997</v>
      </c>
      <c r="F10" s="22">
        <v>9.0074789273399992E-3</v>
      </c>
      <c r="G10" s="22">
        <v>-7.7823744703040001E-2</v>
      </c>
      <c r="H10" s="22">
        <v>-6.8816265775709998E-2</v>
      </c>
      <c r="I10" s="22">
        <v>-3.797345143E-4</v>
      </c>
      <c r="J10" s="22">
        <v>-9.6264342644960005E-2</v>
      </c>
      <c r="K10" s="22">
        <v>-6.5762780202707702</v>
      </c>
      <c r="L10" s="22">
        <v>22.486999999999998</v>
      </c>
      <c r="M10" s="22">
        <v>-194.28550000000001</v>
      </c>
      <c r="N10" s="22">
        <v>-171.79849999999999</v>
      </c>
      <c r="O10" s="22">
        <v>-0.94799999999999995</v>
      </c>
      <c r="P10" s="22">
        <v>-214.298</v>
      </c>
      <c r="Q10" s="22">
        <v>-1777.8309999999999</v>
      </c>
      <c r="R10" s="22">
        <v>7937.876833333341</v>
      </c>
      <c r="S10" s="9"/>
      <c r="T10" s="9"/>
    </row>
    <row r="11" spans="1:20" x14ac:dyDescent="0.2">
      <c r="A11" s="23" t="s">
        <v>68</v>
      </c>
      <c r="B11" s="21"/>
      <c r="C11" s="22">
        <v>2357.627</v>
      </c>
      <c r="D11" s="22">
        <v>2154.7130000000002</v>
      </c>
      <c r="E11" s="22">
        <v>202.91399999999999</v>
      </c>
      <c r="F11" s="22">
        <v>4.6105681688E-4</v>
      </c>
      <c r="G11" s="22" t="s">
        <v>69</v>
      </c>
      <c r="H11" s="22">
        <v>4.6105681688E-4</v>
      </c>
      <c r="I11" s="22" t="s">
        <v>70</v>
      </c>
      <c r="J11" s="22">
        <v>-8.3326178474809998E-2</v>
      </c>
      <c r="K11" s="22">
        <v>-6.5019367810993796</v>
      </c>
      <c r="L11" s="22">
        <v>1.087</v>
      </c>
      <c r="M11" s="22" t="s">
        <v>69</v>
      </c>
      <c r="N11" s="22">
        <v>1.087</v>
      </c>
      <c r="O11" s="22" t="s">
        <v>70</v>
      </c>
      <c r="P11" s="22">
        <v>-179.54400000000001</v>
      </c>
      <c r="Q11" s="22">
        <v>-1319.3340000000001</v>
      </c>
      <c r="R11" s="22">
        <v>5491.9003333333385</v>
      </c>
      <c r="S11" s="9"/>
      <c r="T11" s="9"/>
    </row>
    <row r="12" spans="1:20" x14ac:dyDescent="0.2">
      <c r="A12" s="24" t="s">
        <v>71</v>
      </c>
      <c r="B12" s="25" t="s">
        <v>71</v>
      </c>
      <c r="C12" s="22">
        <v>2357.627</v>
      </c>
      <c r="D12" s="25">
        <v>2154.7130000000002</v>
      </c>
      <c r="E12" s="25">
        <v>202.91399999999999</v>
      </c>
      <c r="F12" s="22">
        <v>4.6105681688E-4</v>
      </c>
      <c r="G12" s="22" t="s">
        <v>69</v>
      </c>
      <c r="H12" s="22">
        <v>4.6105681688E-4</v>
      </c>
      <c r="I12" s="22" t="s">
        <v>70</v>
      </c>
      <c r="J12" s="22">
        <v>-8.3326178474809998E-2</v>
      </c>
      <c r="K12" s="22">
        <v>-6.5019367810993796</v>
      </c>
      <c r="L12" s="25">
        <v>1.087</v>
      </c>
      <c r="M12" s="25" t="s">
        <v>69</v>
      </c>
      <c r="N12" s="22">
        <v>1.087</v>
      </c>
      <c r="O12" s="25" t="s">
        <v>70</v>
      </c>
      <c r="P12" s="25">
        <v>-179.54400000000001</v>
      </c>
      <c r="Q12" s="25">
        <v>-1319.3340000000001</v>
      </c>
      <c r="R12" s="22">
        <v>5491.9003333333385</v>
      </c>
      <c r="S12" s="9"/>
      <c r="T12" s="9"/>
    </row>
    <row r="13" spans="1:20" ht="13.5" x14ac:dyDescent="0.2">
      <c r="A13" s="26" t="s">
        <v>72</v>
      </c>
      <c r="B13" s="21" t="s">
        <v>67</v>
      </c>
      <c r="C13" s="22">
        <v>138.85400000000001</v>
      </c>
      <c r="D13" s="22">
        <v>71.427999999999997</v>
      </c>
      <c r="E13" s="22">
        <v>67.426000000000002</v>
      </c>
      <c r="F13" s="22">
        <v>0.15411871462110999</v>
      </c>
      <c r="G13" s="22">
        <v>-1.3992070808187</v>
      </c>
      <c r="H13" s="22">
        <v>-1.24508836619759</v>
      </c>
      <c r="I13" s="22">
        <v>-6.8273150215299996E-3</v>
      </c>
      <c r="J13" s="22">
        <v>-0.48655989247914</v>
      </c>
      <c r="K13" s="22">
        <v>-6.8000029662148096</v>
      </c>
      <c r="L13" s="22">
        <v>21.4</v>
      </c>
      <c r="M13" s="22">
        <v>-194.28550000000001</v>
      </c>
      <c r="N13" s="22">
        <v>-172.88550000000001</v>
      </c>
      <c r="O13" s="22">
        <v>-0.94799999999999995</v>
      </c>
      <c r="P13" s="22">
        <v>-34.753999999999998</v>
      </c>
      <c r="Q13" s="22">
        <v>-458.49700000000001</v>
      </c>
      <c r="R13" s="22">
        <v>2445.976500000002</v>
      </c>
      <c r="S13" s="9"/>
      <c r="T13" s="9"/>
    </row>
    <row r="14" spans="1:20" x14ac:dyDescent="0.2">
      <c r="A14" s="27" t="s">
        <v>73</v>
      </c>
      <c r="B14" s="21"/>
      <c r="C14" s="22">
        <v>108.318</v>
      </c>
      <c r="D14" s="22">
        <v>63.642000000000003</v>
      </c>
      <c r="E14" s="22">
        <v>44.676000000000002</v>
      </c>
      <c r="F14" s="22">
        <v>0.14882106390443001</v>
      </c>
      <c r="G14" s="22">
        <v>-1.7781116711903799</v>
      </c>
      <c r="H14" s="22">
        <v>-1.6292906072859501</v>
      </c>
      <c r="I14" s="22">
        <v>-8.7520079765100005E-3</v>
      </c>
      <c r="J14" s="22">
        <v>-0.51641997423084995</v>
      </c>
      <c r="K14" s="22">
        <v>-6.80000447667652</v>
      </c>
      <c r="L14" s="22">
        <v>16.12</v>
      </c>
      <c r="M14" s="22">
        <v>-192.60149999999999</v>
      </c>
      <c r="N14" s="22">
        <v>-176.48150000000001</v>
      </c>
      <c r="O14" s="22">
        <v>-0.94799999999999995</v>
      </c>
      <c r="P14" s="22">
        <v>-32.866</v>
      </c>
      <c r="Q14" s="22">
        <v>-303.79700000000003</v>
      </c>
      <c r="R14" s="22">
        <v>1885.005833333335</v>
      </c>
      <c r="S14" s="9"/>
      <c r="T14" s="9"/>
    </row>
    <row r="15" spans="1:20" x14ac:dyDescent="0.2">
      <c r="A15" s="24" t="s">
        <v>74</v>
      </c>
      <c r="B15" s="25" t="s">
        <v>74</v>
      </c>
      <c r="C15" s="22">
        <v>108.318</v>
      </c>
      <c r="D15" s="25">
        <v>63.642000000000003</v>
      </c>
      <c r="E15" s="25">
        <v>44.676000000000002</v>
      </c>
      <c r="F15" s="22">
        <v>0.14882106390443001</v>
      </c>
      <c r="G15" s="22">
        <v>-1.7781116711903799</v>
      </c>
      <c r="H15" s="22">
        <v>-1.6292906072859501</v>
      </c>
      <c r="I15" s="22">
        <v>-8.7520079765100005E-3</v>
      </c>
      <c r="J15" s="22">
        <v>-0.51641997423084995</v>
      </c>
      <c r="K15" s="22">
        <v>-6.80000447667652</v>
      </c>
      <c r="L15" s="25">
        <v>16.12</v>
      </c>
      <c r="M15" s="25">
        <v>-192.60149999999999</v>
      </c>
      <c r="N15" s="22">
        <v>-176.48150000000001</v>
      </c>
      <c r="O15" s="25">
        <v>-0.94799999999999995</v>
      </c>
      <c r="P15" s="25">
        <v>-32.866</v>
      </c>
      <c r="Q15" s="25">
        <v>-303.79700000000003</v>
      </c>
      <c r="R15" s="22">
        <v>1885.005833333335</v>
      </c>
      <c r="S15" s="9"/>
      <c r="T15" s="9"/>
    </row>
    <row r="16" spans="1:20" x14ac:dyDescent="0.2">
      <c r="A16" s="23" t="s">
        <v>75</v>
      </c>
      <c r="B16" s="21"/>
      <c r="C16" s="22">
        <v>7.7560000000000002</v>
      </c>
      <c r="D16" s="22">
        <v>6.3550000000000004</v>
      </c>
      <c r="E16" s="22">
        <v>1.401</v>
      </c>
      <c r="F16" s="22">
        <v>7.0139247034550004E-2</v>
      </c>
      <c r="G16" s="22">
        <v>-7.1944301186180004E-2</v>
      </c>
      <c r="H16" s="22">
        <v>-1.8050541516199999E-3</v>
      </c>
      <c r="I16" s="22" t="s">
        <v>76</v>
      </c>
      <c r="J16" s="22">
        <v>-0.27946498819826998</v>
      </c>
      <c r="K16" s="22">
        <v>-6.8001427551748801</v>
      </c>
      <c r="L16" s="22">
        <v>0.54400000000000004</v>
      </c>
      <c r="M16" s="22">
        <v>-0.55800000000000005</v>
      </c>
      <c r="N16" s="22">
        <v>-1.4E-2</v>
      </c>
      <c r="O16" s="22" t="s">
        <v>76</v>
      </c>
      <c r="P16" s="22">
        <v>-1.776</v>
      </c>
      <c r="Q16" s="22">
        <v>-9.5269999999999992</v>
      </c>
      <c r="R16" s="22">
        <v>41.4956666666667</v>
      </c>
      <c r="S16" s="9"/>
      <c r="T16" s="9"/>
    </row>
    <row r="17" spans="1:20" x14ac:dyDescent="0.2">
      <c r="A17" s="24" t="s">
        <v>77</v>
      </c>
      <c r="B17" s="25" t="s">
        <v>77</v>
      </c>
      <c r="C17" s="22">
        <v>7.7560000000000002</v>
      </c>
      <c r="D17" s="25">
        <v>6.3550000000000004</v>
      </c>
      <c r="E17" s="25">
        <v>1.401</v>
      </c>
      <c r="F17" s="22">
        <v>7.0139247034550004E-2</v>
      </c>
      <c r="G17" s="22">
        <v>-7.1944301186180004E-2</v>
      </c>
      <c r="H17" s="22">
        <v>-1.8050541516199999E-3</v>
      </c>
      <c r="I17" s="22" t="s">
        <v>76</v>
      </c>
      <c r="J17" s="22">
        <v>-0.27946498819826998</v>
      </c>
      <c r="K17" s="22">
        <v>-6.8001427551748801</v>
      </c>
      <c r="L17" s="25">
        <v>0.54400000000000004</v>
      </c>
      <c r="M17" s="25">
        <v>-0.55800000000000005</v>
      </c>
      <c r="N17" s="22">
        <v>-1.4E-2</v>
      </c>
      <c r="O17" s="25" t="s">
        <v>76</v>
      </c>
      <c r="P17" s="25">
        <v>-1.776</v>
      </c>
      <c r="Q17" s="25">
        <v>-9.5269999999999992</v>
      </c>
      <c r="R17" s="22">
        <v>41.4956666666667</v>
      </c>
      <c r="S17" s="9"/>
      <c r="T17" s="9"/>
    </row>
    <row r="18" spans="1:20" x14ac:dyDescent="0.2">
      <c r="A18" s="23" t="s">
        <v>78</v>
      </c>
      <c r="B18" s="21"/>
      <c r="C18" s="22">
        <v>21.349</v>
      </c>
      <c r="D18" s="22" t="s">
        <v>69</v>
      </c>
      <c r="E18" s="22">
        <v>21.349</v>
      </c>
      <c r="F18" s="22">
        <v>0.17049978921729</v>
      </c>
      <c r="G18" s="22">
        <v>-5.2742517213920002E-2</v>
      </c>
      <c r="H18" s="22">
        <v>0.11775727200336999</v>
      </c>
      <c r="I18" s="22" t="s">
        <v>76</v>
      </c>
      <c r="J18" s="22" t="s">
        <v>69</v>
      </c>
      <c r="K18" s="22">
        <v>-6.7999906318797096</v>
      </c>
      <c r="L18" s="22">
        <v>3.64</v>
      </c>
      <c r="M18" s="22">
        <v>-1.1259999999999999</v>
      </c>
      <c r="N18" s="22">
        <v>2.5139999999999998</v>
      </c>
      <c r="O18" s="22" t="s">
        <v>76</v>
      </c>
      <c r="P18" s="22" t="s">
        <v>69</v>
      </c>
      <c r="Q18" s="22">
        <v>-145.173</v>
      </c>
      <c r="R18" s="22">
        <v>523.08300000000042</v>
      </c>
      <c r="S18" s="9"/>
      <c r="T18" s="9"/>
    </row>
    <row r="19" spans="1:20" x14ac:dyDescent="0.2">
      <c r="A19" s="24" t="s">
        <v>79</v>
      </c>
      <c r="B19" s="25" t="s">
        <v>79</v>
      </c>
      <c r="C19" s="22">
        <v>21.349</v>
      </c>
      <c r="D19" s="25" t="s">
        <v>69</v>
      </c>
      <c r="E19" s="25">
        <v>21.349</v>
      </c>
      <c r="F19" s="22">
        <v>0.17049978921729</v>
      </c>
      <c r="G19" s="22">
        <v>-5.2742517213920002E-2</v>
      </c>
      <c r="H19" s="22">
        <v>0.11775727200336999</v>
      </c>
      <c r="I19" s="22" t="s">
        <v>76</v>
      </c>
      <c r="J19" s="22" t="s">
        <v>69</v>
      </c>
      <c r="K19" s="22">
        <v>-6.7999906318797096</v>
      </c>
      <c r="L19" s="25">
        <v>3.64</v>
      </c>
      <c r="M19" s="25">
        <v>-1.1259999999999999</v>
      </c>
      <c r="N19" s="22">
        <v>2.5139999999999998</v>
      </c>
      <c r="O19" s="25" t="s">
        <v>76</v>
      </c>
      <c r="P19" s="25" t="s">
        <v>69</v>
      </c>
      <c r="Q19" s="25">
        <v>-145.173</v>
      </c>
      <c r="R19" s="22">
        <v>523.08300000000042</v>
      </c>
      <c r="S19" s="9"/>
      <c r="T19" s="9"/>
    </row>
    <row r="20" spans="1:20" x14ac:dyDescent="0.2">
      <c r="A20" s="23" t="s">
        <v>80</v>
      </c>
      <c r="B20" s="21"/>
      <c r="C20" s="22">
        <v>1.431</v>
      </c>
      <c r="D20" s="22">
        <v>1.431</v>
      </c>
      <c r="E20" s="22" t="s">
        <v>69</v>
      </c>
      <c r="F20" s="22">
        <v>0.76589797344513999</v>
      </c>
      <c r="G20" s="22" t="s">
        <v>76</v>
      </c>
      <c r="H20" s="22">
        <v>0.76589797344513999</v>
      </c>
      <c r="I20" s="22" t="s">
        <v>76</v>
      </c>
      <c r="J20" s="22">
        <v>-7.8266946191469997E-2</v>
      </c>
      <c r="K20" s="22" t="s">
        <v>69</v>
      </c>
      <c r="L20" s="22">
        <v>1.0960000000000001</v>
      </c>
      <c r="M20" s="22" t="s">
        <v>76</v>
      </c>
      <c r="N20" s="22">
        <v>1.0960000000000001</v>
      </c>
      <c r="O20" s="22" t="s">
        <v>76</v>
      </c>
      <c r="P20" s="22">
        <v>-0.112</v>
      </c>
      <c r="Q20" s="22" t="s">
        <v>69</v>
      </c>
      <c r="R20" s="22">
        <v>-3.6080000000000001</v>
      </c>
      <c r="S20" s="9"/>
      <c r="T20" s="9"/>
    </row>
    <row r="21" spans="1:20" x14ac:dyDescent="0.2">
      <c r="A21" s="24" t="s">
        <v>81</v>
      </c>
      <c r="B21" s="25" t="s">
        <v>81</v>
      </c>
      <c r="C21" s="22">
        <v>1.431</v>
      </c>
      <c r="D21" s="25">
        <v>1.431</v>
      </c>
      <c r="E21" s="25" t="s">
        <v>69</v>
      </c>
      <c r="F21" s="22">
        <v>0.76589797344513999</v>
      </c>
      <c r="G21" s="22" t="s">
        <v>76</v>
      </c>
      <c r="H21" s="22">
        <v>0.76589797344513999</v>
      </c>
      <c r="I21" s="22" t="s">
        <v>76</v>
      </c>
      <c r="J21" s="22">
        <v>-7.8266946191469997E-2</v>
      </c>
      <c r="K21" s="22" t="s">
        <v>69</v>
      </c>
      <c r="L21" s="25">
        <v>1.0960000000000001</v>
      </c>
      <c r="M21" s="25" t="s">
        <v>76</v>
      </c>
      <c r="N21" s="22">
        <v>1.0960000000000001</v>
      </c>
      <c r="O21" s="25" t="s">
        <v>76</v>
      </c>
      <c r="P21" s="25">
        <v>-0.112</v>
      </c>
      <c r="Q21" s="25" t="s">
        <v>69</v>
      </c>
      <c r="R21" s="22">
        <v>-3.6080000000000001</v>
      </c>
      <c r="S21" s="9"/>
      <c r="T21" s="9"/>
    </row>
    <row r="22" spans="1:20" x14ac:dyDescent="0.2">
      <c r="A22" s="28" t="s">
        <v>82</v>
      </c>
      <c r="B22" s="21"/>
      <c r="C22" s="22" t="s">
        <v>83</v>
      </c>
      <c r="D22" s="22" t="s">
        <v>69</v>
      </c>
      <c r="E22" s="22" t="s">
        <v>84</v>
      </c>
      <c r="F22" s="22" t="s">
        <v>69</v>
      </c>
      <c r="G22" s="22" t="s">
        <v>69</v>
      </c>
      <c r="H22" s="22" t="s">
        <v>69</v>
      </c>
      <c r="I22" s="22" t="s">
        <v>69</v>
      </c>
      <c r="J22" s="22" t="s">
        <v>69</v>
      </c>
      <c r="K22" s="22" t="s">
        <v>69</v>
      </c>
      <c r="L22" s="22" t="s">
        <v>69</v>
      </c>
      <c r="M22" s="22" t="s">
        <v>69</v>
      </c>
      <c r="N22" s="22" t="s">
        <v>69</v>
      </c>
      <c r="O22" s="22" t="s">
        <v>69</v>
      </c>
      <c r="P22" s="22" t="s">
        <v>69</v>
      </c>
      <c r="Q22" s="22" t="s">
        <v>69</v>
      </c>
      <c r="R22" s="22" t="s">
        <v>69</v>
      </c>
      <c r="S22" s="9"/>
      <c r="T22" s="9"/>
    </row>
    <row r="23" spans="1:20" x14ac:dyDescent="0.2">
      <c r="A23" s="24" t="s">
        <v>85</v>
      </c>
      <c r="B23" s="25" t="s">
        <v>85</v>
      </c>
      <c r="C23" s="22" t="s">
        <v>83</v>
      </c>
      <c r="D23" s="25" t="s">
        <v>69</v>
      </c>
      <c r="E23" s="25" t="s">
        <v>84</v>
      </c>
      <c r="F23" s="22" t="s">
        <v>69</v>
      </c>
      <c r="G23" s="22" t="s">
        <v>69</v>
      </c>
      <c r="H23" s="22" t="s">
        <v>69</v>
      </c>
      <c r="I23" s="22" t="s">
        <v>69</v>
      </c>
      <c r="J23" s="22" t="s">
        <v>69</v>
      </c>
      <c r="K23" s="22" t="s">
        <v>69</v>
      </c>
      <c r="L23" s="25" t="s">
        <v>69</v>
      </c>
      <c r="M23" s="25" t="s">
        <v>69</v>
      </c>
      <c r="N23" s="22" t="s">
        <v>69</v>
      </c>
      <c r="O23" s="25" t="s">
        <v>69</v>
      </c>
      <c r="P23" s="25" t="s">
        <v>69</v>
      </c>
      <c r="Q23" s="25" t="s">
        <v>69</v>
      </c>
      <c r="R23" s="22" t="s">
        <v>69</v>
      </c>
      <c r="S23" s="9"/>
      <c r="T23" s="9"/>
    </row>
    <row r="24" spans="1:20" x14ac:dyDescent="0.2">
      <c r="A24" s="29" t="s">
        <v>86</v>
      </c>
      <c r="B24" s="30"/>
      <c r="C24" s="30"/>
      <c r="D24" s="30"/>
      <c r="E24" s="30"/>
      <c r="F24" s="30"/>
      <c r="G24" s="30"/>
      <c r="H24" s="30"/>
      <c r="I24" s="30"/>
      <c r="J24" s="30"/>
      <c r="K24" s="30"/>
      <c r="L24" s="30"/>
      <c r="M24" s="30"/>
      <c r="N24" s="30"/>
      <c r="O24" s="30"/>
      <c r="P24" s="30"/>
      <c r="Q24" s="30"/>
      <c r="R24" s="30"/>
      <c r="S24" s="9"/>
      <c r="T24" s="9"/>
    </row>
    <row r="25" spans="1:20" ht="13.5" x14ac:dyDescent="0.2">
      <c r="A25" s="298" t="s">
        <v>87</v>
      </c>
      <c r="B25" s="298"/>
      <c r="C25" s="298"/>
      <c r="D25" s="298"/>
      <c r="E25" s="298"/>
      <c r="F25" s="298"/>
      <c r="G25" s="298"/>
      <c r="H25" s="298"/>
      <c r="I25" s="298"/>
      <c r="J25" s="298"/>
      <c r="K25" s="298"/>
      <c r="L25" s="298"/>
      <c r="M25" s="30"/>
      <c r="N25" s="30"/>
      <c r="O25" s="30"/>
      <c r="P25" s="30"/>
      <c r="Q25" s="30"/>
      <c r="R25" s="30"/>
      <c r="S25" s="9"/>
      <c r="T25" s="9"/>
    </row>
    <row r="26" spans="1:20" ht="13.5" x14ac:dyDescent="0.2">
      <c r="A26" s="299" t="s">
        <v>88</v>
      </c>
      <c r="B26" s="299"/>
      <c r="C26" s="299"/>
      <c r="D26" s="299"/>
      <c r="E26" s="299"/>
      <c r="F26" s="299"/>
      <c r="G26" s="299"/>
      <c r="H26" s="299"/>
      <c r="I26" s="299"/>
      <c r="J26" s="299"/>
      <c r="K26" s="299"/>
      <c r="L26" s="299"/>
      <c r="M26" s="299"/>
      <c r="N26" s="30"/>
      <c r="O26" s="30"/>
      <c r="P26" s="30"/>
      <c r="Q26" s="30"/>
      <c r="R26" s="30"/>
      <c r="S26" s="9"/>
      <c r="T26" s="9"/>
    </row>
    <row r="27" spans="1:20" ht="13.5" x14ac:dyDescent="0.2">
      <c r="A27" s="300" t="s">
        <v>89</v>
      </c>
      <c r="B27" s="300"/>
      <c r="C27" s="300"/>
      <c r="D27" s="300"/>
      <c r="E27" s="300"/>
      <c r="F27" s="300"/>
      <c r="G27" s="300"/>
      <c r="H27" s="300"/>
      <c r="I27" s="300"/>
      <c r="J27" s="300"/>
      <c r="K27" s="300"/>
      <c r="L27" s="300"/>
      <c r="M27" s="300"/>
      <c r="N27" s="30"/>
      <c r="O27" s="30"/>
      <c r="P27" s="30"/>
      <c r="Q27" s="30"/>
      <c r="R27" s="30"/>
      <c r="S27" s="9"/>
      <c r="T27" s="9"/>
    </row>
    <row r="28" spans="1:20" ht="13.5" x14ac:dyDescent="0.2">
      <c r="A28" s="297" t="s">
        <v>90</v>
      </c>
      <c r="B28" s="297"/>
      <c r="C28" s="297"/>
      <c r="D28" s="297"/>
      <c r="E28" s="297"/>
      <c r="F28" s="297"/>
      <c r="G28" s="297"/>
      <c r="H28" s="297"/>
      <c r="I28" s="297"/>
      <c r="J28" s="297"/>
      <c r="K28" s="297"/>
      <c r="L28" s="297"/>
      <c r="M28" s="30"/>
      <c r="N28" s="30"/>
      <c r="O28" s="30"/>
      <c r="P28" s="30"/>
      <c r="Q28" s="30"/>
      <c r="R28" s="30"/>
      <c r="S28" s="9"/>
      <c r="T28" s="9"/>
    </row>
    <row r="29" spans="1:20" ht="13.5" x14ac:dyDescent="0.2">
      <c r="A29" s="296" t="s">
        <v>91</v>
      </c>
      <c r="B29" s="296"/>
      <c r="C29" s="296"/>
      <c r="D29" s="296"/>
      <c r="E29" s="296"/>
      <c r="F29" s="296"/>
      <c r="G29" s="296"/>
      <c r="H29" s="296"/>
      <c r="I29" s="296"/>
      <c r="J29" s="296"/>
      <c r="K29" s="296"/>
      <c r="L29" s="296"/>
      <c r="M29" s="30"/>
      <c r="N29" s="30"/>
      <c r="O29" s="30"/>
      <c r="P29" s="30"/>
      <c r="Q29" s="30"/>
      <c r="R29" s="30"/>
      <c r="S29" s="9"/>
      <c r="T29" s="9"/>
    </row>
    <row r="30" spans="1:20" ht="13.5" x14ac:dyDescent="0.2">
      <c r="A30" s="297" t="s">
        <v>92</v>
      </c>
      <c r="B30" s="297"/>
      <c r="C30" s="297"/>
      <c r="D30" s="297"/>
      <c r="E30" s="297"/>
      <c r="F30" s="297"/>
      <c r="G30" s="297"/>
      <c r="H30" s="297"/>
      <c r="I30" s="297"/>
      <c r="J30" s="297"/>
      <c r="K30" s="297"/>
      <c r="L30" s="30"/>
      <c r="M30" s="30"/>
      <c r="N30" s="30"/>
      <c r="O30" s="30"/>
      <c r="P30" s="30"/>
      <c r="Q30" s="30"/>
      <c r="R30" s="30"/>
      <c r="S30" s="9"/>
      <c r="T30" s="9"/>
    </row>
    <row r="31" spans="1:20" ht="13.5" x14ac:dyDescent="0.2">
      <c r="A31" s="297" t="s">
        <v>93</v>
      </c>
      <c r="B31" s="297"/>
      <c r="C31" s="297"/>
      <c r="D31" s="297"/>
      <c r="E31" s="297"/>
      <c r="F31" s="297"/>
      <c r="G31" s="297"/>
      <c r="H31" s="297"/>
      <c r="I31" s="297"/>
      <c r="J31" s="297"/>
      <c r="K31" s="297"/>
      <c r="L31" s="297"/>
      <c r="M31" s="30"/>
      <c r="N31" s="30"/>
      <c r="O31" s="30"/>
      <c r="P31" s="30"/>
      <c r="Q31" s="30"/>
      <c r="R31" s="30"/>
      <c r="S31" s="9"/>
      <c r="T31" s="9"/>
    </row>
    <row r="32" spans="1:20" ht="13.5" x14ac:dyDescent="0.2">
      <c r="A32" s="250" t="s">
        <v>94</v>
      </c>
      <c r="B32" s="250"/>
      <c r="C32" s="250"/>
      <c r="D32" s="250"/>
      <c r="E32" s="250"/>
      <c r="F32" s="250"/>
      <c r="G32" s="250"/>
      <c r="H32" s="250"/>
      <c r="I32" s="250"/>
      <c r="J32" s="250"/>
      <c r="K32" s="250"/>
      <c r="L32" s="250"/>
      <c r="M32" s="30"/>
      <c r="N32" s="30"/>
      <c r="O32" s="30"/>
      <c r="P32" s="30"/>
      <c r="Q32" s="30"/>
      <c r="R32" s="30"/>
      <c r="S32" s="9"/>
      <c r="T32" s="9"/>
    </row>
    <row r="33" spans="1:20" ht="12.75" customHeight="1" x14ac:dyDescent="0.2">
      <c r="A33" s="251" t="s">
        <v>95</v>
      </c>
      <c r="B33" s="251"/>
      <c r="C33" s="251"/>
      <c r="D33" s="251"/>
      <c r="E33" s="251"/>
      <c r="F33" s="251"/>
      <c r="G33" s="251"/>
      <c r="H33" s="251"/>
      <c r="I33" s="251"/>
      <c r="J33" s="251"/>
      <c r="K33" s="251"/>
      <c r="L33" s="251"/>
      <c r="M33" s="251"/>
      <c r="N33" s="31"/>
      <c r="O33" s="31"/>
      <c r="P33" s="31"/>
      <c r="Q33" s="31"/>
      <c r="R33" s="31"/>
      <c r="S33" s="31"/>
      <c r="T33" s="31"/>
    </row>
    <row r="34" spans="1:20" ht="13.5" x14ac:dyDescent="0.2">
      <c r="A34" s="296" t="s">
        <v>96</v>
      </c>
      <c r="B34" s="296"/>
      <c r="C34" s="296"/>
      <c r="D34" s="296"/>
      <c r="E34" s="296"/>
      <c r="F34" s="296"/>
      <c r="G34" s="296"/>
      <c r="H34" s="296"/>
      <c r="I34" s="296"/>
      <c r="J34" s="296"/>
      <c r="K34" s="296"/>
      <c r="L34" s="296"/>
      <c r="M34" s="296"/>
      <c r="N34" s="30"/>
      <c r="O34" s="30"/>
      <c r="P34" s="30"/>
      <c r="Q34" s="30"/>
      <c r="R34" s="30"/>
      <c r="S34" s="9"/>
      <c r="T34" s="9"/>
    </row>
    <row r="35" spans="1:20" x14ac:dyDescent="0.2">
      <c r="A35" s="9"/>
      <c r="B35" s="9"/>
      <c r="C35" s="9"/>
      <c r="D35" s="9"/>
      <c r="E35" s="9"/>
      <c r="F35" s="9"/>
      <c r="G35" s="9"/>
      <c r="H35" s="9"/>
      <c r="I35" s="9"/>
      <c r="J35" s="9"/>
      <c r="K35" s="9"/>
      <c r="L35" s="9"/>
      <c r="M35" s="9"/>
      <c r="N35" s="9"/>
      <c r="O35" s="9"/>
      <c r="P35" s="9"/>
      <c r="Q35" s="9"/>
      <c r="R35" s="9"/>
      <c r="S35" s="9"/>
      <c r="T35" s="9"/>
    </row>
    <row r="36" spans="1:20" ht="18" customHeight="1" x14ac:dyDescent="0.2">
      <c r="A36" s="32" t="s">
        <v>97</v>
      </c>
      <c r="B36" s="33"/>
      <c r="C36" s="33"/>
      <c r="D36" s="33"/>
      <c r="E36" s="33"/>
      <c r="F36" s="33"/>
      <c r="G36" s="33"/>
      <c r="H36" s="33"/>
      <c r="I36" s="33"/>
      <c r="J36" s="33"/>
      <c r="K36" s="33"/>
      <c r="L36" s="33"/>
      <c r="M36" s="33"/>
      <c r="N36" s="33"/>
      <c r="O36" s="33"/>
      <c r="P36" s="33"/>
      <c r="Q36" s="33"/>
      <c r="R36" s="34"/>
      <c r="S36" s="9"/>
      <c r="T36" s="9"/>
    </row>
    <row r="37" spans="1:20" ht="26.25" customHeight="1" x14ac:dyDescent="0.2">
      <c r="A37" s="295" t="s">
        <v>98</v>
      </c>
      <c r="B37" s="279"/>
      <c r="C37" s="279"/>
      <c r="D37" s="279"/>
      <c r="E37" s="279"/>
      <c r="F37" s="279"/>
      <c r="G37" s="279"/>
      <c r="H37" s="279"/>
      <c r="I37" s="279"/>
      <c r="J37" s="279"/>
      <c r="K37" s="279"/>
      <c r="L37" s="279"/>
      <c r="M37" s="279"/>
      <c r="N37" s="279"/>
      <c r="O37" s="279"/>
      <c r="P37" s="279"/>
      <c r="Q37" s="279"/>
      <c r="R37" s="280"/>
      <c r="S37" s="9"/>
      <c r="T37" s="9"/>
    </row>
    <row r="38" spans="1:20" ht="12" customHeight="1" x14ac:dyDescent="0.2">
      <c r="A38" s="35" t="s">
        <v>99</v>
      </c>
      <c r="B38" s="247" t="s">
        <v>67</v>
      </c>
      <c r="C38" s="248"/>
      <c r="D38" s="248"/>
      <c r="E38" s="248"/>
      <c r="F38" s="248"/>
      <c r="G38" s="248"/>
      <c r="H38" s="248"/>
      <c r="I38" s="248"/>
      <c r="J38" s="248"/>
      <c r="K38" s="248"/>
      <c r="L38" s="248"/>
      <c r="M38" s="248"/>
      <c r="N38" s="248"/>
      <c r="O38" s="248"/>
      <c r="P38" s="248"/>
      <c r="Q38" s="248"/>
      <c r="R38" s="248"/>
      <c r="S38" s="9"/>
      <c r="T38" s="9"/>
    </row>
    <row r="39" spans="1:20" ht="12" customHeight="1" x14ac:dyDescent="0.2">
      <c r="A39" s="35" t="s">
        <v>99</v>
      </c>
      <c r="B39" s="247" t="s">
        <v>67</v>
      </c>
      <c r="C39" s="248"/>
      <c r="D39" s="248"/>
      <c r="E39" s="248"/>
      <c r="F39" s="248"/>
      <c r="G39" s="248"/>
      <c r="H39" s="248"/>
      <c r="I39" s="248"/>
      <c r="J39" s="248"/>
      <c r="K39" s="248"/>
      <c r="L39" s="248"/>
      <c r="M39" s="248"/>
      <c r="N39" s="248"/>
      <c r="O39" s="248"/>
      <c r="P39" s="248"/>
      <c r="Q39" s="248"/>
      <c r="R39" s="248"/>
    </row>
  </sheetData>
  <mergeCells count="31">
    <mergeCell ref="R5:R8"/>
    <mergeCell ref="A6:A9"/>
    <mergeCell ref="B6:B9"/>
    <mergeCell ref="C6:C9"/>
    <mergeCell ref="D6:D9"/>
    <mergeCell ref="E6:E9"/>
    <mergeCell ref="O6:O8"/>
    <mergeCell ref="P6:Q7"/>
    <mergeCell ref="A5:B5"/>
    <mergeCell ref="C5:E5"/>
    <mergeCell ref="F5:K5"/>
    <mergeCell ref="L5:Q5"/>
    <mergeCell ref="A28:L28"/>
    <mergeCell ref="F6:H7"/>
    <mergeCell ref="I6:I8"/>
    <mergeCell ref="J6:K7"/>
    <mergeCell ref="L6:N7"/>
    <mergeCell ref="F9:K9"/>
    <mergeCell ref="L9:Q9"/>
    <mergeCell ref="A25:L25"/>
    <mergeCell ref="A26:M26"/>
    <mergeCell ref="A27:M27"/>
    <mergeCell ref="A37:R37"/>
    <mergeCell ref="B38:R38"/>
    <mergeCell ref="B39:R39"/>
    <mergeCell ref="A29:L29"/>
    <mergeCell ref="A30:K30"/>
    <mergeCell ref="A31:L31"/>
    <mergeCell ref="A32:L32"/>
    <mergeCell ref="A33:M33"/>
    <mergeCell ref="A34:M34"/>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4" workbookViewId="0">
      <selection activeCell="A28" sqref="A28:E28"/>
    </sheetView>
  </sheetViews>
  <sheetFormatPr defaultColWidth="8" defaultRowHeight="12" x14ac:dyDescent="0.2"/>
  <cols>
    <col min="1" max="1" width="44.140625" style="11" customWidth="1"/>
    <col min="2" max="2" width="61" style="11" customWidth="1"/>
    <col min="3" max="3" width="16.5703125" style="11" customWidth="1"/>
    <col min="4" max="4" width="22.140625" style="11" customWidth="1"/>
    <col min="5" max="5" width="16.85546875" style="11" customWidth="1"/>
    <col min="6" max="16384" width="8" style="11"/>
  </cols>
  <sheetData>
    <row r="1" spans="1:6" ht="15.75" x14ac:dyDescent="0.2">
      <c r="A1" s="314" t="s">
        <v>100</v>
      </c>
      <c r="B1" s="314"/>
      <c r="C1" s="9"/>
      <c r="D1" s="9"/>
      <c r="E1" s="10" t="s">
        <v>36</v>
      </c>
    </row>
    <row r="2" spans="1:6" ht="17.25" x14ac:dyDescent="0.2">
      <c r="A2" s="314" t="s">
        <v>101</v>
      </c>
      <c r="B2" s="314"/>
      <c r="C2" s="9"/>
      <c r="D2" s="9"/>
      <c r="E2" s="10" t="s">
        <v>38</v>
      </c>
    </row>
    <row r="3" spans="1:6" ht="15.75" x14ac:dyDescent="0.25">
      <c r="A3" s="36" t="s">
        <v>39</v>
      </c>
      <c r="B3" s="37"/>
      <c r="C3" s="9"/>
      <c r="D3" s="9"/>
      <c r="E3" s="10" t="s">
        <v>41</v>
      </c>
    </row>
    <row r="4" spans="1:6" ht="12" customHeight="1" x14ac:dyDescent="0.2">
      <c r="A4" s="9"/>
      <c r="B4" s="9"/>
      <c r="C4" s="9"/>
      <c r="D4" s="9"/>
      <c r="E4" s="9"/>
    </row>
    <row r="5" spans="1:6" ht="27" customHeight="1" x14ac:dyDescent="0.2">
      <c r="A5" s="38" t="s">
        <v>42</v>
      </c>
      <c r="B5" s="315" t="s">
        <v>102</v>
      </c>
      <c r="C5" s="316"/>
      <c r="D5" s="39" t="s">
        <v>103</v>
      </c>
      <c r="E5" s="40" t="s">
        <v>104</v>
      </c>
    </row>
    <row r="6" spans="1:6" ht="12" customHeight="1" x14ac:dyDescent="0.2">
      <c r="A6" s="41"/>
      <c r="B6" s="42" t="s">
        <v>105</v>
      </c>
      <c r="C6" s="39" t="s">
        <v>106</v>
      </c>
      <c r="D6" s="42"/>
      <c r="E6" s="43" t="s">
        <v>107</v>
      </c>
    </row>
    <row r="7" spans="1:6" ht="29.25" customHeight="1" thickBot="1" x14ac:dyDescent="0.25">
      <c r="A7" s="44"/>
      <c r="B7" s="45"/>
      <c r="C7" s="46" t="s">
        <v>108</v>
      </c>
      <c r="D7" s="46" t="s">
        <v>109</v>
      </c>
      <c r="E7" s="47" t="s">
        <v>65</v>
      </c>
      <c r="F7" s="11" t="s">
        <v>524</v>
      </c>
    </row>
    <row r="8" spans="1:6" ht="29.25" customHeight="1" thickTop="1" x14ac:dyDescent="0.2">
      <c r="A8" s="48" t="s">
        <v>110</v>
      </c>
      <c r="B8" s="21" t="s">
        <v>67</v>
      </c>
      <c r="C8" s="21" t="s">
        <v>67</v>
      </c>
      <c r="D8" s="21" t="s">
        <v>67</v>
      </c>
      <c r="E8" s="22">
        <v>10.78613895752137</v>
      </c>
    </row>
    <row r="9" spans="1:6" ht="29.25" customHeight="1" x14ac:dyDescent="0.2">
      <c r="A9" s="49" t="s">
        <v>111</v>
      </c>
      <c r="B9" s="22" t="s">
        <v>112</v>
      </c>
      <c r="C9" s="25">
        <v>146798000</v>
      </c>
      <c r="D9" s="22">
        <v>0.01</v>
      </c>
      <c r="E9" s="25">
        <v>2.30682571428571</v>
      </c>
    </row>
    <row r="10" spans="1:6" ht="29.25" customHeight="1" x14ac:dyDescent="0.2">
      <c r="A10" s="49" t="s">
        <v>113</v>
      </c>
      <c r="B10" s="22" t="s">
        <v>114</v>
      </c>
      <c r="C10" s="22">
        <v>75588753.91838333</v>
      </c>
      <c r="D10" s="22">
        <v>0.01</v>
      </c>
      <c r="E10" s="22">
        <v>1.18782327586031</v>
      </c>
    </row>
    <row r="11" spans="1:6" ht="25.5" customHeight="1" x14ac:dyDescent="0.2">
      <c r="A11" s="49" t="s">
        <v>115</v>
      </c>
      <c r="B11" s="22" t="s">
        <v>116</v>
      </c>
      <c r="C11" s="25">
        <v>72280558.518383324</v>
      </c>
      <c r="D11" s="22">
        <v>0.01</v>
      </c>
      <c r="E11" s="25">
        <v>1.13583734814602</v>
      </c>
    </row>
    <row r="12" spans="1:6" ht="22.5" customHeight="1" x14ac:dyDescent="0.2">
      <c r="A12" s="49" t="s">
        <v>117</v>
      </c>
      <c r="B12" s="22" t="s">
        <v>118</v>
      </c>
      <c r="C12" s="25">
        <v>2729339.4</v>
      </c>
      <c r="D12" s="22">
        <v>0.01</v>
      </c>
      <c r="E12" s="25">
        <v>4.2889619142859998E-2</v>
      </c>
    </row>
    <row r="13" spans="1:6" ht="20.25" customHeight="1" x14ac:dyDescent="0.2">
      <c r="A13" s="50" t="s">
        <v>119</v>
      </c>
      <c r="B13" s="22" t="s">
        <v>120</v>
      </c>
      <c r="C13" s="25">
        <v>578856</v>
      </c>
      <c r="D13" s="22">
        <v>0.01</v>
      </c>
      <c r="E13" s="25">
        <v>9.0963085714299997E-3</v>
      </c>
    </row>
    <row r="14" spans="1:6" ht="14.25" customHeight="1" x14ac:dyDescent="0.2">
      <c r="A14" s="49" t="s">
        <v>121</v>
      </c>
      <c r="B14" s="22" t="s">
        <v>122</v>
      </c>
      <c r="C14" s="25">
        <v>13160704.648782164</v>
      </c>
      <c r="D14" s="22">
        <v>1.6961319227690001E-2</v>
      </c>
      <c r="E14" s="25">
        <v>0.35077886298617</v>
      </c>
    </row>
    <row r="15" spans="1:6" ht="14.25" customHeight="1" x14ac:dyDescent="0.2">
      <c r="A15" s="49" t="s">
        <v>123</v>
      </c>
      <c r="B15" s="22" t="s">
        <v>124</v>
      </c>
      <c r="C15" s="25">
        <v>98213868.7306346</v>
      </c>
      <c r="D15" s="22">
        <v>0.01</v>
      </c>
      <c r="E15" s="25">
        <v>1.5433607943385399</v>
      </c>
    </row>
    <row r="16" spans="1:6" ht="25.5" customHeight="1" x14ac:dyDescent="0.2">
      <c r="A16" s="49" t="s">
        <v>125</v>
      </c>
      <c r="B16" s="22" t="s">
        <v>126</v>
      </c>
      <c r="C16" s="25">
        <v>13811077</v>
      </c>
      <c r="D16" s="22">
        <v>9.9985619579800004E-3</v>
      </c>
      <c r="E16" s="25">
        <v>0.217</v>
      </c>
    </row>
    <row r="17" spans="1:6" ht="14.25" customHeight="1" x14ac:dyDescent="0.2">
      <c r="A17" s="49" t="s">
        <v>127</v>
      </c>
      <c r="B17" s="22" t="s">
        <v>128</v>
      </c>
      <c r="C17" s="25">
        <v>337157</v>
      </c>
      <c r="D17" s="22">
        <v>9.7776008237744403</v>
      </c>
      <c r="E17" s="25">
        <v>5.1803503100506401</v>
      </c>
      <c r="F17" s="154">
        <f>298*((1000*E17)/C17)</f>
        <v>4.5787107857617988</v>
      </c>
    </row>
    <row r="18" spans="1:6" ht="14.25" customHeight="1" x14ac:dyDescent="0.2">
      <c r="A18" s="49" t="s">
        <v>129</v>
      </c>
      <c r="B18" s="22" t="s">
        <v>67</v>
      </c>
      <c r="C18" s="25" t="s">
        <v>69</v>
      </c>
      <c r="D18" s="22" t="s">
        <v>69</v>
      </c>
      <c r="E18" s="25" t="s">
        <v>69</v>
      </c>
    </row>
    <row r="19" spans="1:6" ht="27" customHeight="1" x14ac:dyDescent="0.2">
      <c r="A19" s="51" t="s">
        <v>130</v>
      </c>
      <c r="B19" s="21" t="s">
        <v>67</v>
      </c>
      <c r="C19" s="21" t="s">
        <v>67</v>
      </c>
      <c r="D19" s="21" t="s">
        <v>67</v>
      </c>
      <c r="E19" s="22">
        <v>1.3556426864202</v>
      </c>
    </row>
    <row r="20" spans="1:6" ht="24" customHeight="1" x14ac:dyDescent="0.2">
      <c r="A20" s="52" t="s">
        <v>131</v>
      </c>
      <c r="B20" s="22" t="s">
        <v>132</v>
      </c>
      <c r="C20" s="25">
        <v>9705912.7448649295</v>
      </c>
      <c r="D20" s="22">
        <v>1.029565465136E-2</v>
      </c>
      <c r="E20" s="25">
        <v>0.15703085466732999</v>
      </c>
    </row>
    <row r="21" spans="1:6" x14ac:dyDescent="0.2">
      <c r="A21" s="52" t="s">
        <v>133</v>
      </c>
      <c r="B21" s="22" t="s">
        <v>134</v>
      </c>
      <c r="C21" s="25">
        <v>97665872.382166609</v>
      </c>
      <c r="D21" s="22">
        <v>7.8098210279399999E-3</v>
      </c>
      <c r="E21" s="25">
        <v>1.19861183175287</v>
      </c>
    </row>
    <row r="22" spans="1:6" ht="12" customHeight="1" x14ac:dyDescent="0.2">
      <c r="A22" s="9"/>
      <c r="B22" s="9"/>
      <c r="C22" s="9"/>
      <c r="D22" s="9"/>
      <c r="E22" s="9"/>
    </row>
    <row r="23" spans="1:6" ht="11.25" customHeight="1" x14ac:dyDescent="0.2">
      <c r="A23" s="317" t="s">
        <v>135</v>
      </c>
      <c r="B23" s="317"/>
      <c r="C23" s="317"/>
      <c r="D23" s="317"/>
      <c r="E23" s="317"/>
    </row>
    <row r="24" spans="1:6" ht="13.5" x14ac:dyDescent="0.2">
      <c r="A24" s="236" t="s">
        <v>136</v>
      </c>
      <c r="B24" s="236"/>
      <c r="C24" s="236"/>
      <c r="D24" s="236"/>
      <c r="E24" s="236"/>
    </row>
    <row r="25" spans="1:6" x14ac:dyDescent="0.2">
      <c r="A25" s="312" t="s">
        <v>137</v>
      </c>
      <c r="B25" s="313"/>
      <c r="C25" s="313"/>
      <c r="D25" s="313"/>
      <c r="E25" s="313"/>
    </row>
    <row r="26" spans="1:6" ht="14.25" customHeight="1" x14ac:dyDescent="0.2">
      <c r="A26" s="302" t="s">
        <v>138</v>
      </c>
      <c r="B26" s="302"/>
      <c r="C26" s="302"/>
      <c r="D26" s="302"/>
      <c r="E26" s="302"/>
    </row>
    <row r="27" spans="1:6" ht="14.25" customHeight="1" x14ac:dyDescent="0.2">
      <c r="A27" s="302" t="s">
        <v>139</v>
      </c>
      <c r="B27" s="302"/>
      <c r="C27" s="302"/>
      <c r="D27" s="302"/>
      <c r="E27" s="302"/>
    </row>
    <row r="28" spans="1:6" ht="13.5" x14ac:dyDescent="0.2">
      <c r="A28" s="302" t="s">
        <v>140</v>
      </c>
      <c r="B28" s="302"/>
      <c r="C28" s="302"/>
      <c r="D28" s="302"/>
      <c r="E28" s="302"/>
    </row>
    <row r="29" spans="1:6" ht="13.5" x14ac:dyDescent="0.2">
      <c r="A29" s="53"/>
      <c r="B29" s="53"/>
      <c r="C29" s="53"/>
      <c r="D29" s="53"/>
      <c r="E29" s="53"/>
    </row>
    <row r="30" spans="1:6" ht="13.5" x14ac:dyDescent="0.2">
      <c r="A30" s="54" t="s">
        <v>141</v>
      </c>
      <c r="B30" s="53"/>
      <c r="C30" s="53"/>
      <c r="D30" s="53"/>
      <c r="E30" s="53"/>
    </row>
    <row r="31" spans="1:6" ht="14.25" x14ac:dyDescent="0.2">
      <c r="A31" s="55" t="s">
        <v>142</v>
      </c>
      <c r="B31" s="55" t="s">
        <v>105</v>
      </c>
      <c r="C31" s="56" t="s">
        <v>106</v>
      </c>
      <c r="D31" s="53"/>
      <c r="E31" s="53"/>
    </row>
    <row r="32" spans="1:6" ht="13.5" x14ac:dyDescent="0.2">
      <c r="A32" s="57" t="s">
        <v>143</v>
      </c>
      <c r="B32" s="57" t="s">
        <v>144</v>
      </c>
      <c r="C32" s="25">
        <v>1.5578222500000001E-2</v>
      </c>
      <c r="D32" s="53"/>
      <c r="E32" s="53"/>
    </row>
    <row r="33" spans="1:5" ht="13.5" x14ac:dyDescent="0.2">
      <c r="A33" s="57" t="s">
        <v>145</v>
      </c>
      <c r="B33" s="57" t="s">
        <v>146</v>
      </c>
      <c r="C33" s="25">
        <v>8.6828931551759997E-2</v>
      </c>
      <c r="D33" s="53"/>
      <c r="E33" s="53"/>
    </row>
    <row r="34" spans="1:5" ht="13.5" x14ac:dyDescent="0.2">
      <c r="A34" s="57" t="s">
        <v>147</v>
      </c>
      <c r="B34" s="57" t="s">
        <v>148</v>
      </c>
      <c r="C34" s="25">
        <v>0.3</v>
      </c>
      <c r="D34" s="53"/>
      <c r="E34" s="53"/>
    </row>
    <row r="35" spans="1:5" ht="13.5" x14ac:dyDescent="0.2">
      <c r="A35" s="58" t="s">
        <v>149</v>
      </c>
      <c r="B35" s="59"/>
      <c r="C35" s="21" t="s">
        <v>67</v>
      </c>
      <c r="D35" s="53"/>
      <c r="E35" s="53"/>
    </row>
    <row r="36" spans="1:5" ht="13.5" x14ac:dyDescent="0.2">
      <c r="A36" s="60" t="s">
        <v>150</v>
      </c>
      <c r="B36" s="53"/>
      <c r="C36" s="53"/>
      <c r="D36" s="53"/>
      <c r="E36" s="53"/>
    </row>
    <row r="37" spans="1:5" ht="13.5" x14ac:dyDescent="0.2">
      <c r="A37" s="61"/>
      <c r="B37" s="53"/>
      <c r="C37" s="53"/>
      <c r="D37" s="53"/>
      <c r="E37" s="53"/>
    </row>
    <row r="38" spans="1:5" ht="12" customHeight="1" x14ac:dyDescent="0.2">
      <c r="A38" s="303" t="s">
        <v>97</v>
      </c>
      <c r="B38" s="304"/>
      <c r="C38" s="304"/>
      <c r="D38" s="304"/>
      <c r="E38" s="305"/>
    </row>
    <row r="39" spans="1:5" ht="27" customHeight="1" x14ac:dyDescent="0.2">
      <c r="A39" s="306" t="s">
        <v>151</v>
      </c>
      <c r="B39" s="307"/>
      <c r="C39" s="307"/>
      <c r="D39" s="307"/>
      <c r="E39" s="308"/>
    </row>
    <row r="40" spans="1:5" ht="12" customHeight="1" x14ac:dyDescent="0.2">
      <c r="A40" s="309" t="s">
        <v>152</v>
      </c>
      <c r="B40" s="310"/>
      <c r="C40" s="310"/>
      <c r="D40" s="310"/>
      <c r="E40" s="311"/>
    </row>
    <row r="41" spans="1:5" ht="12" customHeight="1" x14ac:dyDescent="0.25">
      <c r="A41" s="62" t="s">
        <v>153</v>
      </c>
      <c r="B41" s="63"/>
      <c r="C41" s="63"/>
      <c r="D41" s="63"/>
      <c r="E41" s="64"/>
    </row>
    <row r="42" spans="1:5" ht="12" customHeight="1" x14ac:dyDescent="0.2">
      <c r="A42" s="65" t="s">
        <v>154</v>
      </c>
      <c r="B42" s="66"/>
      <c r="C42" s="66"/>
      <c r="D42" s="66"/>
      <c r="E42" s="67"/>
    </row>
    <row r="43" spans="1:5" ht="12" customHeight="1" x14ac:dyDescent="0.2">
      <c r="A43" s="68" t="s">
        <v>99</v>
      </c>
      <c r="B43" s="247" t="s">
        <v>155</v>
      </c>
      <c r="C43" s="301"/>
      <c r="D43" s="301"/>
      <c r="E43" s="301"/>
    </row>
  </sheetData>
  <mergeCells count="13">
    <mergeCell ref="A25:E25"/>
    <mergeCell ref="A1:B1"/>
    <mergeCell ref="A2:B2"/>
    <mergeCell ref="B5:C5"/>
    <mergeCell ref="A23:E23"/>
    <mergeCell ref="A24:E24"/>
    <mergeCell ref="B43:E43"/>
    <mergeCell ref="A26:E26"/>
    <mergeCell ref="A27:E27"/>
    <mergeCell ref="A28:E28"/>
    <mergeCell ref="A38:E38"/>
    <mergeCell ref="A39:E39"/>
    <mergeCell ref="A40:E40"/>
  </mergeCells>
  <dataValidations count="1">
    <dataValidation allowBlank="1" showInputMessage="1" showErrorMessage="1" sqref="A45:E65509 F1:IN65509"/>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F23" sqref="F23"/>
    </sheetView>
  </sheetViews>
  <sheetFormatPr defaultRowHeight="15" x14ac:dyDescent="0.25"/>
  <cols>
    <col min="1" max="1" width="39.42578125" bestFit="1" customWidth="1"/>
  </cols>
  <sheetData>
    <row r="1" spans="1:2" x14ac:dyDescent="0.25">
      <c r="A1" t="s">
        <v>260</v>
      </c>
      <c r="B1">
        <f>2050634.35/2245000</f>
        <v>0.91342287305122494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E16" sqref="E16"/>
    </sheetView>
  </sheetViews>
  <sheetFormatPr defaultRowHeight="15" x14ac:dyDescent="0.25"/>
  <sheetData>
    <row r="1" spans="1:3" x14ac:dyDescent="0.25">
      <c r="A1" t="s">
        <v>159</v>
      </c>
      <c r="B1" t="s">
        <v>163</v>
      </c>
      <c r="C1" t="s">
        <v>159</v>
      </c>
    </row>
    <row r="2" spans="1:3" x14ac:dyDescent="0.25">
      <c r="A2" t="s">
        <v>160</v>
      </c>
      <c r="B2">
        <v>1</v>
      </c>
      <c r="C2">
        <v>1</v>
      </c>
    </row>
    <row r="3" spans="1:3" x14ac:dyDescent="0.25">
      <c r="A3" t="s">
        <v>161</v>
      </c>
      <c r="B3">
        <v>25</v>
      </c>
      <c r="C3">
        <v>28</v>
      </c>
    </row>
    <row r="4" spans="1:3" x14ac:dyDescent="0.25">
      <c r="A4" t="s">
        <v>162</v>
      </c>
      <c r="B4">
        <v>298</v>
      </c>
      <c r="C4">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F10" sqref="F10"/>
    </sheetView>
  </sheetViews>
  <sheetFormatPr defaultColWidth="8.7109375" defaultRowHeight="15" x14ac:dyDescent="0.25"/>
  <cols>
    <col min="1" max="1" width="29.140625" style="165" bestFit="1" customWidth="1"/>
    <col min="2" max="2" width="8.140625" style="172" bestFit="1" customWidth="1"/>
    <col min="3" max="3" width="19.28515625" style="165" bestFit="1" customWidth="1"/>
    <col min="4" max="4" width="19.7109375" style="165" bestFit="1" customWidth="1"/>
    <col min="5" max="5" width="13.7109375" style="165" bestFit="1" customWidth="1"/>
    <col min="6" max="6" width="29.140625" style="166" customWidth="1"/>
    <col min="7" max="7" width="76.5703125" style="165" bestFit="1" customWidth="1"/>
    <col min="8" max="8" width="11.5703125" style="165" bestFit="1" customWidth="1"/>
    <col min="9" max="16384" width="8.7109375" style="165"/>
  </cols>
  <sheetData>
    <row r="1" spans="1:6" s="173" customFormat="1" ht="60" x14ac:dyDescent="0.25">
      <c r="A1" s="173" t="s">
        <v>0</v>
      </c>
      <c r="B1" s="174" t="s">
        <v>3</v>
      </c>
      <c r="C1" s="174" t="s">
        <v>628</v>
      </c>
      <c r="D1" s="174" t="s">
        <v>11</v>
      </c>
      <c r="E1" s="174" t="s">
        <v>10</v>
      </c>
      <c r="F1" s="152" t="s">
        <v>6</v>
      </c>
    </row>
    <row r="2" spans="1:6" x14ac:dyDescent="0.25">
      <c r="A2" s="165" t="s">
        <v>1</v>
      </c>
      <c r="C2" s="200"/>
      <c r="D2" s="200">
        <v>280000</v>
      </c>
      <c r="E2" s="200">
        <v>45000</v>
      </c>
    </row>
    <row r="3" spans="1:6" ht="30" x14ac:dyDescent="0.25">
      <c r="A3" s="165" t="s">
        <v>2</v>
      </c>
      <c r="B3" s="172" t="s">
        <v>5</v>
      </c>
      <c r="C3" s="201">
        <f>2000</f>
        <v>2000</v>
      </c>
      <c r="D3" s="200">
        <f>0.6*2000</f>
        <v>1200</v>
      </c>
      <c r="E3" s="202">
        <f>D3-C3-100</f>
        <v>-900</v>
      </c>
      <c r="F3" s="166" t="s">
        <v>582</v>
      </c>
    </row>
    <row r="4" spans="1:6" ht="45" x14ac:dyDescent="0.25">
      <c r="A4" s="165" t="s">
        <v>7</v>
      </c>
      <c r="B4" s="172" t="s">
        <v>4</v>
      </c>
      <c r="C4" s="201">
        <f>2000</f>
        <v>2000</v>
      </c>
      <c r="D4" s="200">
        <f>0.6*2000</f>
        <v>1200</v>
      </c>
      <c r="E4" s="202">
        <f>D4-C4-100</f>
        <v>-900</v>
      </c>
      <c r="F4" s="166" t="s">
        <v>582</v>
      </c>
    </row>
    <row r="5" spans="1:6" ht="30" x14ac:dyDescent="0.25">
      <c r="A5" s="167" t="s">
        <v>12</v>
      </c>
      <c r="C5" s="202">
        <f>2050634.35/2245000*D5</f>
        <v>7289.1145269487752</v>
      </c>
      <c r="D5" s="200">
        <f>(3*26600000)/10000</f>
        <v>7980</v>
      </c>
      <c r="E5" s="202">
        <f>D5-C5</f>
        <v>690.88547305122484</v>
      </c>
      <c r="F5" s="166" t="s">
        <v>13</v>
      </c>
    </row>
    <row r="6" spans="1:6" x14ac:dyDescent="0.25">
      <c r="A6" s="165" t="s">
        <v>14</v>
      </c>
      <c r="C6" s="200"/>
      <c r="D6" s="200"/>
      <c r="E6" s="203">
        <f t="shared" ref="E6:E16" si="0">D6-C6</f>
        <v>0</v>
      </c>
      <c r="F6" s="166" t="s">
        <v>15</v>
      </c>
    </row>
    <row r="7" spans="1:6" x14ac:dyDescent="0.25">
      <c r="A7" s="74" t="s">
        <v>16</v>
      </c>
      <c r="C7" s="200">
        <f>D7-14000</f>
        <v>56000</v>
      </c>
      <c r="D7" s="200">
        <v>70000</v>
      </c>
      <c r="E7" s="202">
        <f t="shared" si="0"/>
        <v>14000</v>
      </c>
    </row>
    <row r="8" spans="1:6" x14ac:dyDescent="0.25">
      <c r="A8" s="74" t="s">
        <v>17</v>
      </c>
      <c r="C8" s="200">
        <f>D8-10000</f>
        <v>10000</v>
      </c>
      <c r="D8" s="200">
        <v>20000</v>
      </c>
      <c r="E8" s="202">
        <f t="shared" si="0"/>
        <v>10000</v>
      </c>
    </row>
    <row r="9" spans="1:6" ht="30" x14ac:dyDescent="0.25">
      <c r="A9" s="3" t="s">
        <v>18</v>
      </c>
      <c r="C9" s="200"/>
      <c r="D9" s="200">
        <v>1400000</v>
      </c>
      <c r="E9" s="202"/>
    </row>
    <row r="10" spans="1:6" x14ac:dyDescent="0.25">
      <c r="A10" s="74" t="s">
        <v>19</v>
      </c>
      <c r="C10" s="200">
        <f>D10-2000</f>
        <v>23000</v>
      </c>
      <c r="D10" s="200">
        <v>25000</v>
      </c>
      <c r="E10" s="202">
        <f t="shared" si="0"/>
        <v>2000</v>
      </c>
    </row>
    <row r="11" spans="1:6" x14ac:dyDescent="0.25">
      <c r="A11" s="165" t="s">
        <v>20</v>
      </c>
      <c r="C11" s="200">
        <v>117000</v>
      </c>
      <c r="D11" s="200">
        <v>300000</v>
      </c>
      <c r="E11" s="202">
        <f t="shared" si="0"/>
        <v>183000</v>
      </c>
    </row>
    <row r="12" spans="1:6" ht="30" x14ac:dyDescent="0.25">
      <c r="A12" s="165" t="s">
        <v>21</v>
      </c>
      <c r="C12" s="200">
        <v>3000</v>
      </c>
      <c r="D12" s="200">
        <v>100000</v>
      </c>
      <c r="E12" s="202">
        <f t="shared" si="0"/>
        <v>97000</v>
      </c>
    </row>
    <row r="13" spans="1:6" x14ac:dyDescent="0.25">
      <c r="A13" s="165" t="s">
        <v>22</v>
      </c>
      <c r="C13" s="170"/>
      <c r="D13" s="170"/>
      <c r="E13" s="170"/>
    </row>
    <row r="14" spans="1:6" ht="30" x14ac:dyDescent="0.25">
      <c r="A14" s="169" t="s">
        <v>262</v>
      </c>
      <c r="C14" s="170"/>
      <c r="D14" s="170"/>
      <c r="E14" s="171"/>
    </row>
    <row r="15" spans="1:6" ht="30" x14ac:dyDescent="0.25">
      <c r="A15" s="167" t="s">
        <v>261</v>
      </c>
      <c r="C15" s="170">
        <v>0</v>
      </c>
      <c r="D15" s="170">
        <v>20000</v>
      </c>
      <c r="E15" s="171">
        <f t="shared" si="0"/>
        <v>20000</v>
      </c>
      <c r="F15" s="166" t="s">
        <v>23</v>
      </c>
    </row>
    <row r="16" spans="1:6" x14ac:dyDescent="0.25">
      <c r="A16" s="167" t="s">
        <v>263</v>
      </c>
      <c r="C16" s="170">
        <v>1591</v>
      </c>
      <c r="D16" s="170">
        <v>0</v>
      </c>
      <c r="E16" s="171">
        <f t="shared" si="0"/>
        <v>-1591</v>
      </c>
      <c r="F16" s="166" t="s">
        <v>587</v>
      </c>
    </row>
  </sheetData>
  <sheetProtection algorithmName="SHA-512" hashValue="WYbAtVvHnGh7oWH2SmHohHimVBQHaEbJoJuFsvLMjX2naIq5FRilgPwTVBiCa6L3raRy9pbc635xKX6wsKhKiw==" saltValue="pS7fkLENgTou//FL/RKoV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7"/>
  <sheetViews>
    <sheetView topLeftCell="A2" workbookViewId="0">
      <selection activeCell="C37" sqref="C37"/>
    </sheetView>
  </sheetViews>
  <sheetFormatPr defaultColWidth="8.7109375" defaultRowHeight="15" x14ac:dyDescent="0.25"/>
  <cols>
    <col min="1" max="1" width="15.5703125" style="173" customWidth="1"/>
    <col min="2" max="2" width="68.42578125" style="165" customWidth="1"/>
    <col min="3" max="3" width="17.140625" style="166" customWidth="1"/>
    <col min="4" max="4" width="15.85546875" style="166" customWidth="1"/>
    <col min="5" max="5" width="15.5703125" style="166" customWidth="1"/>
    <col min="6" max="7" width="15.85546875" style="166" customWidth="1"/>
    <col min="8" max="8" width="16.7109375" style="166" bestFit="1" customWidth="1"/>
    <col min="9" max="16384" width="8.7109375" style="166"/>
  </cols>
  <sheetData>
    <row r="1" spans="1:8" ht="105" x14ac:dyDescent="0.25">
      <c r="A1" s="173" t="s">
        <v>578</v>
      </c>
      <c r="B1" s="204" t="s">
        <v>577</v>
      </c>
      <c r="C1" s="205" t="s">
        <v>573</v>
      </c>
      <c r="D1" s="205" t="s">
        <v>574</v>
      </c>
      <c r="E1" s="205" t="s">
        <v>575</v>
      </c>
      <c r="F1" s="205" t="s">
        <v>576</v>
      </c>
      <c r="G1" s="206"/>
      <c r="H1" s="206" t="s">
        <v>627</v>
      </c>
    </row>
    <row r="2" spans="1:8" ht="60" x14ac:dyDescent="0.25">
      <c r="A2" s="173" t="s">
        <v>535</v>
      </c>
      <c r="B2" s="165" t="s">
        <v>555</v>
      </c>
      <c r="C2" s="195">
        <f>huuhtouma!F2</f>
        <v>7.1998928571428561E-3</v>
      </c>
      <c r="D2" s="181">
        <f>huuhtouma!G2</f>
        <v>0.32399517857142857</v>
      </c>
      <c r="E2" s="187"/>
      <c r="F2" s="187"/>
      <c r="G2" s="187"/>
      <c r="H2" s="187"/>
    </row>
    <row r="3" spans="1:8" ht="180" x14ac:dyDescent="0.25">
      <c r="A3" s="173" t="s">
        <v>535</v>
      </c>
      <c r="B3" s="165" t="s">
        <v>556</v>
      </c>
      <c r="C3" s="181">
        <f>raivaus!J48</f>
        <v>3.6395946190476183</v>
      </c>
      <c r="D3" s="180">
        <f>raivaus!G48</f>
        <v>16.204675928571426</v>
      </c>
      <c r="E3" s="180">
        <f>raivaus!J44</f>
        <v>51.816530982243947</v>
      </c>
      <c r="F3" s="180">
        <f>raivaus!G44</f>
        <v>233.17438942009775</v>
      </c>
      <c r="G3" s="180"/>
      <c r="H3" s="208">
        <f>raivaus!G50</f>
        <v>233.46250593795489</v>
      </c>
    </row>
    <row r="4" spans="1:8" ht="30" x14ac:dyDescent="0.25">
      <c r="A4" s="173" t="s">
        <v>535</v>
      </c>
      <c r="B4" s="165" t="s">
        <v>557</v>
      </c>
      <c r="C4" s="181" t="s">
        <v>580</v>
      </c>
      <c r="D4" s="180" t="s">
        <v>580</v>
      </c>
      <c r="E4" s="181"/>
      <c r="F4" s="187"/>
      <c r="G4" s="187"/>
      <c r="H4" s="209"/>
    </row>
    <row r="5" spans="1:8" ht="90" x14ac:dyDescent="0.25">
      <c r="A5" s="173" t="s">
        <v>535</v>
      </c>
      <c r="B5" s="165" t="s">
        <v>558</v>
      </c>
      <c r="C5" s="181">
        <f>nurmet_kerääjäk_maanparannusk!O3-huuhtouma!F4</f>
        <v>6.9625635288648541E-2</v>
      </c>
      <c r="D5" s="195">
        <f>nurmet_kerääjäk_maanparannusk!P3-huuhtouma!G4</f>
        <v>4.8103339972889986E-2</v>
      </c>
      <c r="E5" s="181">
        <f>nurmet_kerääjäk_maanparannusk!Q3</f>
        <v>1.3377041478249698</v>
      </c>
      <c r="F5" s="180">
        <f>nurmet_kerääjäk_maanparannusk!R3</f>
        <v>0.92420036297263986</v>
      </c>
      <c r="G5" s="180"/>
      <c r="H5" s="208">
        <f>F5</f>
        <v>0.92420036297263986</v>
      </c>
    </row>
    <row r="6" spans="1:8" ht="30" x14ac:dyDescent="0.25">
      <c r="A6" s="173" t="s">
        <v>535</v>
      </c>
      <c r="B6" s="165" t="s">
        <v>559</v>
      </c>
      <c r="C6" s="181">
        <f>nurmet_kerääjäk_maanparannusk!O4+huuhtouma!F5</f>
        <v>0.48405849243150578</v>
      </c>
      <c r="D6" s="181"/>
      <c r="E6" s="187"/>
      <c r="F6" s="187"/>
      <c r="G6" s="187"/>
      <c r="H6" s="209"/>
    </row>
    <row r="7" spans="1:8" ht="150" x14ac:dyDescent="0.25">
      <c r="A7" s="173" t="s">
        <v>535</v>
      </c>
      <c r="B7" s="165" t="s">
        <v>629</v>
      </c>
      <c r="C7" s="181">
        <f>huuhtouma!F6</f>
        <v>7.1998928571428561E-3</v>
      </c>
      <c r="D7" s="181">
        <f>huuhtouma!G6</f>
        <v>6.4799035714285705E-2</v>
      </c>
      <c r="E7" s="187"/>
      <c r="F7" s="187"/>
      <c r="G7" s="187"/>
      <c r="H7" s="209"/>
    </row>
    <row r="8" spans="1:8" ht="210" x14ac:dyDescent="0.25">
      <c r="A8" s="173" t="s">
        <v>535</v>
      </c>
      <c r="B8" s="165" t="s">
        <v>630</v>
      </c>
      <c r="C8" s="187" t="s">
        <v>580</v>
      </c>
      <c r="D8" s="187" t="s">
        <v>580</v>
      </c>
      <c r="E8" s="187"/>
      <c r="F8" s="187"/>
      <c r="G8" s="187"/>
      <c r="H8" s="209"/>
    </row>
    <row r="9" spans="1:8" ht="90" x14ac:dyDescent="0.25">
      <c r="A9" s="173" t="s">
        <v>535</v>
      </c>
      <c r="B9" s="165" t="s">
        <v>560</v>
      </c>
      <c r="C9" s="187"/>
      <c r="D9" s="187"/>
      <c r="E9" s="187"/>
      <c r="F9" s="187"/>
      <c r="G9" s="187"/>
      <c r="H9" s="209"/>
    </row>
    <row r="10" spans="1:8" ht="30" x14ac:dyDescent="0.25">
      <c r="A10" s="173" t="s">
        <v>535</v>
      </c>
      <c r="B10" s="165" t="s">
        <v>561</v>
      </c>
      <c r="C10" s="187"/>
      <c r="D10" s="187"/>
      <c r="E10" s="187"/>
      <c r="F10" s="187"/>
      <c r="G10" s="187"/>
      <c r="H10" s="209"/>
    </row>
    <row r="11" spans="1:8" ht="30" x14ac:dyDescent="0.25">
      <c r="A11" s="173" t="s">
        <v>535</v>
      </c>
      <c r="B11" s="165" t="s">
        <v>562</v>
      </c>
      <c r="C11" s="187"/>
      <c r="D11" s="187"/>
      <c r="E11" s="187"/>
      <c r="F11" s="187"/>
      <c r="G11" s="187"/>
      <c r="H11" s="209"/>
    </row>
    <row r="12" spans="1:8" ht="30" x14ac:dyDescent="0.25">
      <c r="A12" s="173" t="s">
        <v>535</v>
      </c>
      <c r="B12" s="165" t="s">
        <v>536</v>
      </c>
      <c r="C12" s="187"/>
      <c r="D12" s="187"/>
      <c r="E12" s="187"/>
      <c r="F12" s="187"/>
      <c r="G12" s="187"/>
      <c r="H12" s="209"/>
    </row>
    <row r="13" spans="1:8" ht="30" x14ac:dyDescent="0.25">
      <c r="A13" s="173" t="s">
        <v>535</v>
      </c>
      <c r="B13" s="165" t="s">
        <v>563</v>
      </c>
      <c r="C13" s="195">
        <f>huuhtouma!F7</f>
        <v>7.1998928571428561E-3</v>
      </c>
      <c r="D13" s="195">
        <f>huuhtouma!G7</f>
        <v>1.0799839285714284E-2</v>
      </c>
      <c r="E13" s="187"/>
      <c r="F13" s="187"/>
      <c r="G13" s="187"/>
      <c r="H13" s="209"/>
    </row>
    <row r="14" spans="1:8" ht="120" x14ac:dyDescent="0.25">
      <c r="A14" s="173" t="s">
        <v>535</v>
      </c>
      <c r="B14" s="165" t="s">
        <v>564</v>
      </c>
      <c r="C14" s="187"/>
      <c r="D14" s="187"/>
      <c r="E14" s="195">
        <f>raivaus!J45</f>
        <v>37.072737636247645</v>
      </c>
      <c r="F14" s="180">
        <f>raivaus!G45</f>
        <v>166.82731936311438</v>
      </c>
      <c r="G14" s="180"/>
      <c r="H14" s="208">
        <f>raivaus!G51</f>
        <v>167.05812489882868</v>
      </c>
    </row>
    <row r="15" spans="1:8" ht="105" x14ac:dyDescent="0.25">
      <c r="A15" s="173" t="s">
        <v>537</v>
      </c>
      <c r="B15" s="165" t="s">
        <v>631</v>
      </c>
      <c r="C15" s="187"/>
      <c r="D15" s="187"/>
      <c r="E15" s="187"/>
      <c r="F15" s="187"/>
      <c r="G15" s="187"/>
      <c r="H15" s="209"/>
    </row>
    <row r="16" spans="1:8" ht="60" x14ac:dyDescent="0.25">
      <c r="A16" s="173" t="s">
        <v>537</v>
      </c>
      <c r="B16" s="165" t="s">
        <v>632</v>
      </c>
      <c r="C16" s="187"/>
      <c r="D16" s="187"/>
      <c r="E16" s="187"/>
      <c r="F16" s="187"/>
      <c r="G16" s="187"/>
      <c r="H16" s="209"/>
    </row>
    <row r="17" spans="1:8" ht="60" x14ac:dyDescent="0.25">
      <c r="A17" s="173" t="s">
        <v>537</v>
      </c>
      <c r="B17" s="165" t="s">
        <v>565</v>
      </c>
      <c r="C17" s="187"/>
      <c r="D17" s="187"/>
      <c r="E17" s="187"/>
      <c r="F17" s="187"/>
      <c r="G17" s="187"/>
      <c r="H17" s="209"/>
    </row>
    <row r="18" spans="1:8" ht="60" x14ac:dyDescent="0.25">
      <c r="A18" s="173" t="s">
        <v>537</v>
      </c>
      <c r="B18" s="165" t="s">
        <v>566</v>
      </c>
      <c r="C18" s="187"/>
      <c r="D18" s="187"/>
      <c r="E18" s="187"/>
      <c r="F18" s="187"/>
      <c r="G18" s="187"/>
      <c r="H18" s="209"/>
    </row>
    <row r="19" spans="1:8" ht="45" x14ac:dyDescent="0.25">
      <c r="A19" s="173" t="s">
        <v>537</v>
      </c>
      <c r="B19" s="165" t="s">
        <v>567</v>
      </c>
      <c r="C19" s="187"/>
      <c r="D19" s="187"/>
      <c r="E19" s="187"/>
      <c r="F19" s="187"/>
      <c r="G19" s="187"/>
      <c r="H19" s="209"/>
    </row>
    <row r="20" spans="1:8" ht="120" x14ac:dyDescent="0.25">
      <c r="A20" s="173" t="s">
        <v>537</v>
      </c>
      <c r="B20" s="165" t="s">
        <v>568</v>
      </c>
      <c r="C20" s="187"/>
      <c r="D20" s="187"/>
      <c r="E20" s="187"/>
      <c r="F20" s="187"/>
      <c r="G20" s="187"/>
      <c r="H20" s="209"/>
    </row>
    <row r="21" spans="1:8" ht="135" x14ac:dyDescent="0.25">
      <c r="A21" s="173" t="s">
        <v>538</v>
      </c>
      <c r="B21" s="165" t="s">
        <v>569</v>
      </c>
      <c r="C21" s="181">
        <f>nurmet_kerääjäk_maanparannusk!O5-huuhtouma!F9</f>
        <v>6.9625635288648527E-2</v>
      </c>
      <c r="D21" s="181">
        <f>nurmet_kerääjäk_maanparannusk!P5-huuhtouma!G9</f>
        <v>0.9747588940410794</v>
      </c>
      <c r="E21" s="181">
        <f>nurmet_kerääjäk_maanparannusk!Q5</f>
        <v>1.33770414782497</v>
      </c>
      <c r="F21" s="180">
        <f>nurmet_kerääjäk_maanparannusk!R5</f>
        <v>18.72785806954958</v>
      </c>
      <c r="G21" s="180"/>
      <c r="H21" s="208">
        <f>F21</f>
        <v>18.72785806954958</v>
      </c>
    </row>
    <row r="22" spans="1:8" ht="120" x14ac:dyDescent="0.25">
      <c r="A22" s="173" t="s">
        <v>538</v>
      </c>
      <c r="B22" s="165" t="s">
        <v>570</v>
      </c>
      <c r="C22" s="181">
        <f>nurmet_kerääjäk_maanparannusk!O6-huuhtouma!F10</f>
        <v>6.9625635288648527E-2</v>
      </c>
      <c r="D22" s="181">
        <f>nurmet_kerääjäk_maanparannusk!P6-huuhtouma!G10</f>
        <v>0.69625635288648535</v>
      </c>
      <c r="E22" s="181">
        <f>nurmet_kerääjäk_maanparannusk!Q6</f>
        <v>1.33770414782497</v>
      </c>
      <c r="F22" s="180">
        <f>nurmet_kerääjäk_maanparannusk!R6</f>
        <v>13.377041478249701</v>
      </c>
      <c r="G22" s="180"/>
      <c r="H22" s="208">
        <f>F22</f>
        <v>13.377041478249701</v>
      </c>
    </row>
    <row r="23" spans="1:8" ht="255" x14ac:dyDescent="0.25">
      <c r="A23" s="173" t="s">
        <v>538</v>
      </c>
      <c r="B23" s="165" t="s">
        <v>571</v>
      </c>
      <c r="C23" s="195">
        <f>huuhtouma!F11</f>
        <v>2.3461114285714284E-2</v>
      </c>
      <c r="D23" s="210">
        <v>7</v>
      </c>
      <c r="E23" s="187"/>
      <c r="F23" s="187"/>
      <c r="G23" s="187"/>
      <c r="H23" s="209"/>
    </row>
    <row r="24" spans="1:8" ht="90" x14ac:dyDescent="0.25">
      <c r="A24" s="173" t="s">
        <v>538</v>
      </c>
      <c r="B24" s="165" t="s">
        <v>572</v>
      </c>
      <c r="C24" s="187"/>
      <c r="D24" s="187"/>
      <c r="E24" s="187"/>
      <c r="F24" s="187"/>
      <c r="G24" s="187"/>
      <c r="H24" s="209"/>
    </row>
    <row r="25" spans="1:8" ht="30" x14ac:dyDescent="0.25">
      <c r="A25" s="173" t="s">
        <v>539</v>
      </c>
      <c r="B25" s="169" t="s">
        <v>540</v>
      </c>
      <c r="C25" s="181">
        <f>huuhtouma!F12</f>
        <v>2.6692285714285716E-3</v>
      </c>
      <c r="D25" s="180">
        <f>huuhtouma!G12</f>
        <v>4.898034428571429</v>
      </c>
      <c r="E25" s="187"/>
      <c r="F25" s="187"/>
      <c r="G25" s="187"/>
      <c r="H25" s="209"/>
    </row>
    <row r="26" spans="1:8" ht="30" x14ac:dyDescent="0.25">
      <c r="A26" s="173" t="s">
        <v>539</v>
      </c>
      <c r="B26" s="165" t="s">
        <v>20</v>
      </c>
      <c r="C26" s="195">
        <f>nurmet_kerääjäk_maanparannusk!O10</f>
        <v>1.931678571428571E-2</v>
      </c>
      <c r="D26" s="181">
        <f>nurmet_kerääjäk_maanparannusk!P10</f>
        <v>3.5349717857142848</v>
      </c>
      <c r="E26" s="181">
        <f>nurmet_kerääjäk_maanparannusk!Q10</f>
        <v>0.45833333333333331</v>
      </c>
      <c r="F26" s="180">
        <f>nurmet_kerääjäk_maanparannusk!R10</f>
        <v>83.875</v>
      </c>
      <c r="G26" s="180"/>
      <c r="H26" s="208">
        <f>F26</f>
        <v>83.875</v>
      </c>
    </row>
    <row r="27" spans="1:8" ht="30" x14ac:dyDescent="0.25">
      <c r="A27" s="173" t="s">
        <v>539</v>
      </c>
      <c r="B27" s="165" t="s">
        <v>21</v>
      </c>
      <c r="C27" s="195">
        <f>nurmet_kerääjäk_maanparannusk!O11</f>
        <v>0</v>
      </c>
      <c r="D27" s="181">
        <f>nurmet_kerääjäk_maanparannusk!P11</f>
        <v>0</v>
      </c>
      <c r="E27" s="181">
        <f>nurmet_kerääjäk_maanparannusk!Q11</f>
        <v>1.1231959877409698</v>
      </c>
      <c r="F27" s="180">
        <f>nurmet_kerääjäk_maanparannusk!R11</f>
        <v>108.95001081087408</v>
      </c>
      <c r="G27" s="180"/>
      <c r="H27" s="208">
        <f>F27</f>
        <v>108.95001081087408</v>
      </c>
    </row>
    <row r="28" spans="1:8" ht="30" x14ac:dyDescent="0.25">
      <c r="A28" s="173" t="s">
        <v>539</v>
      </c>
      <c r="B28" s="165" t="s">
        <v>22</v>
      </c>
      <c r="C28" s="195">
        <f>'lietelannan sijoittaminen'!B14</f>
        <v>4.0214035714285716E-2</v>
      </c>
      <c r="D28" s="181">
        <f>'lietelannan sijoittaminen'!B15</f>
        <v>1.3270631785714286</v>
      </c>
      <c r="E28" s="187"/>
      <c r="F28" s="187"/>
      <c r="G28" s="187"/>
      <c r="H28" s="209"/>
    </row>
    <row r="29" spans="1:8" ht="30" x14ac:dyDescent="0.25">
      <c r="A29" s="173" t="s">
        <v>539</v>
      </c>
      <c r="B29" s="165" t="s">
        <v>496</v>
      </c>
      <c r="C29" s="181">
        <f>nurmet_kerääjäk_maanparannusk!O8</f>
        <v>1.7018673571428564</v>
      </c>
      <c r="D29" s="180">
        <f>nurmet_kerääjäk_maanparannusk!P8</f>
        <v>34.037347142857129</v>
      </c>
      <c r="E29" s="181">
        <f>nurmet_kerääjäk_maanparannusk!Q8</f>
        <v>8.06666666666667</v>
      </c>
      <c r="F29" s="180">
        <f>nurmet_kerääjäk_maanparannusk!R8</f>
        <v>161.3333333333334</v>
      </c>
      <c r="G29" s="180"/>
      <c r="H29" s="208">
        <f>F29</f>
        <v>161.3333333333334</v>
      </c>
    </row>
    <row r="30" spans="1:8" ht="30" x14ac:dyDescent="0.25">
      <c r="A30" s="173" t="s">
        <v>539</v>
      </c>
      <c r="B30" s="165" t="s">
        <v>498</v>
      </c>
      <c r="C30" s="181">
        <f>valumavesien_hallinta!J2</f>
        <v>1.4077107589285716</v>
      </c>
      <c r="D30" s="180">
        <f>valumavesien_hallinta!K2</f>
        <v>11.261686071428572</v>
      </c>
      <c r="E30" s="181">
        <f>valumavesien_hallinta!L2</f>
        <v>2.5218749999999992</v>
      </c>
      <c r="F30" s="180">
        <f>valumavesien_hallinta!M2</f>
        <v>20.174999999999994</v>
      </c>
      <c r="G30" s="180"/>
      <c r="H30" s="211">
        <f>valumavesien_hallinta!M14</f>
        <v>19.823999999999998</v>
      </c>
    </row>
    <row r="31" spans="1:8" ht="30" x14ac:dyDescent="0.25">
      <c r="A31" s="173" t="s">
        <v>539</v>
      </c>
      <c r="B31" s="165" t="s">
        <v>541</v>
      </c>
      <c r="C31" s="187"/>
      <c r="D31" s="187"/>
      <c r="E31" s="187"/>
      <c r="F31" s="187"/>
      <c r="G31" s="187"/>
      <c r="H31" s="209"/>
    </row>
    <row r="32" spans="1:8" ht="20.45" customHeight="1" x14ac:dyDescent="0.25">
      <c r="A32" s="173" t="s">
        <v>539</v>
      </c>
      <c r="B32" s="165" t="s">
        <v>542</v>
      </c>
      <c r="C32" s="187"/>
      <c r="D32" s="187"/>
      <c r="E32" s="187"/>
      <c r="F32" s="187"/>
      <c r="G32" s="187"/>
      <c r="H32" s="209"/>
    </row>
    <row r="33" spans="1:8" ht="20.45" customHeight="1" x14ac:dyDescent="0.25">
      <c r="A33" s="173" t="s">
        <v>539</v>
      </c>
      <c r="B33" s="165" t="s">
        <v>534</v>
      </c>
      <c r="C33" s="181">
        <f>kosteikot!B18</f>
        <v>2.0211400285904335</v>
      </c>
      <c r="D33" s="180">
        <f>kosteikot!B17</f>
        <v>1.8190260257313902</v>
      </c>
      <c r="E33" s="181">
        <f>kosteikot!B11</f>
        <v>3.7814915382570038</v>
      </c>
      <c r="F33" s="180">
        <f>kosteikot!B10</f>
        <v>3.4033423844313035</v>
      </c>
      <c r="G33" s="180"/>
      <c r="H33" s="209">
        <f>kosteikot!E30</f>
        <v>2.6989423844313034</v>
      </c>
    </row>
    <row r="34" spans="1:8" ht="20.45" customHeight="1" x14ac:dyDescent="0.25">
      <c r="A34" s="173" t="s">
        <v>539</v>
      </c>
      <c r="B34" s="165" t="s">
        <v>543</v>
      </c>
      <c r="C34" s="187"/>
      <c r="D34" s="187"/>
      <c r="E34" s="187"/>
      <c r="F34" s="187"/>
      <c r="G34" s="187"/>
      <c r="H34" s="209"/>
    </row>
    <row r="35" spans="1:8" ht="20.45" customHeight="1" x14ac:dyDescent="0.25">
      <c r="A35" s="173" t="s">
        <v>539</v>
      </c>
      <c r="B35" s="165" t="s">
        <v>544</v>
      </c>
      <c r="C35" s="187"/>
      <c r="D35" s="187"/>
      <c r="E35" s="187"/>
      <c r="F35" s="187"/>
      <c r="G35" s="187"/>
      <c r="H35" s="209"/>
    </row>
    <row r="36" spans="1:8" ht="18.95" customHeight="1" x14ac:dyDescent="0.25">
      <c r="A36" s="173" t="s">
        <v>539</v>
      </c>
      <c r="B36" s="165" t="s">
        <v>545</v>
      </c>
      <c r="C36" s="187"/>
      <c r="D36" s="187"/>
      <c r="E36" s="187"/>
      <c r="F36" s="187"/>
      <c r="G36" s="187"/>
      <c r="H36" s="209"/>
    </row>
    <row r="37" spans="1:8" ht="45" x14ac:dyDescent="0.25">
      <c r="A37" s="173" t="s">
        <v>546</v>
      </c>
      <c r="B37" s="165" t="s">
        <v>547</v>
      </c>
      <c r="C37" s="187"/>
      <c r="D37" s="187"/>
      <c r="E37" s="187"/>
      <c r="F37" s="187"/>
      <c r="G37" s="187"/>
      <c r="H37" s="209"/>
    </row>
    <row r="38" spans="1:8" ht="30" x14ac:dyDescent="0.25">
      <c r="A38" s="173" t="s">
        <v>548</v>
      </c>
      <c r="B38" s="165" t="s">
        <v>283</v>
      </c>
      <c r="C38" s="195">
        <f>huuhtouma!F15</f>
        <v>9.8339999999999973E-3</v>
      </c>
      <c r="D38" s="181">
        <f>huuhtouma!G15</f>
        <v>1.4259299999999997</v>
      </c>
      <c r="E38" s="187"/>
      <c r="F38" s="187"/>
      <c r="G38" s="187"/>
      <c r="H38" s="209"/>
    </row>
    <row r="39" spans="1:8" x14ac:dyDescent="0.25">
      <c r="A39" s="173" t="s">
        <v>549</v>
      </c>
      <c r="B39" s="165" t="s">
        <v>550</v>
      </c>
      <c r="C39" s="187"/>
      <c r="D39" s="187"/>
      <c r="E39" s="187"/>
      <c r="F39" s="187"/>
      <c r="G39" s="187"/>
      <c r="H39" s="209"/>
    </row>
    <row r="40" spans="1:8" x14ac:dyDescent="0.25">
      <c r="A40" s="173" t="s">
        <v>549</v>
      </c>
      <c r="B40" s="165" t="s">
        <v>551</v>
      </c>
      <c r="C40" s="187"/>
      <c r="D40" s="187"/>
      <c r="E40" s="187"/>
      <c r="F40" s="187"/>
      <c r="G40" s="187"/>
      <c r="H40" s="209"/>
    </row>
    <row r="41" spans="1:8" ht="30" x14ac:dyDescent="0.25">
      <c r="A41" s="173" t="s">
        <v>552</v>
      </c>
      <c r="B41" s="165" t="s">
        <v>553</v>
      </c>
      <c r="C41" s="187"/>
      <c r="D41" s="187"/>
      <c r="E41" s="187"/>
      <c r="F41" s="187"/>
      <c r="G41" s="187"/>
      <c r="H41" s="209"/>
    </row>
    <row r="42" spans="1:8" ht="30" x14ac:dyDescent="0.25">
      <c r="A42" s="173" t="s">
        <v>552</v>
      </c>
      <c r="B42" s="165" t="s">
        <v>554</v>
      </c>
      <c r="C42" s="187"/>
      <c r="D42" s="187"/>
      <c r="E42" s="187"/>
      <c r="F42" s="187"/>
      <c r="G42" s="187"/>
      <c r="H42" s="209"/>
    </row>
    <row r="43" spans="1:8" x14ac:dyDescent="0.25">
      <c r="B43" s="175" t="s">
        <v>581</v>
      </c>
      <c r="C43" s="181">
        <f>nurmet_kerääjäk_maanparannusk!O9</f>
        <v>0.55879839288364941</v>
      </c>
      <c r="D43" s="181">
        <f>nurmet_kerääjäk_maanparannusk!P9</f>
        <v>-0.8890482430778861</v>
      </c>
      <c r="E43" s="181">
        <f>nurmet_kerääjäk_maanparannusk!Q9</f>
        <v>2.7957284535086147</v>
      </c>
      <c r="F43" s="181">
        <f>nurmet_kerääjäk_maanparannusk!R9</f>
        <v>-4.4480039695322056</v>
      </c>
      <c r="G43" s="181"/>
      <c r="H43" s="212">
        <f>F43</f>
        <v>-4.4480039695322056</v>
      </c>
    </row>
    <row r="44" spans="1:8" x14ac:dyDescent="0.25">
      <c r="A44" s="178"/>
      <c r="B44" s="176"/>
      <c r="C44" s="213"/>
      <c r="D44" s="214">
        <f>SUM(D2:D43)-D23</f>
        <v>75.738398958839653</v>
      </c>
      <c r="E44" s="214"/>
      <c r="F44" s="214">
        <f>SUM(F2:F43)</f>
        <v>806.31949125309052</v>
      </c>
      <c r="G44" s="215"/>
      <c r="H44" s="187"/>
    </row>
    <row r="45" spans="1:8" x14ac:dyDescent="0.25">
      <c r="C45" s="187"/>
      <c r="D45" s="187"/>
      <c r="E45" s="187"/>
      <c r="F45" s="180"/>
      <c r="G45" s="187"/>
      <c r="H45" s="187"/>
    </row>
    <row r="46" spans="1:8" x14ac:dyDescent="0.25">
      <c r="A46" s="179" t="s">
        <v>159</v>
      </c>
      <c r="B46" s="177"/>
      <c r="C46" s="216"/>
      <c r="D46" s="217">
        <f>D44/298*265</f>
        <v>67.351260819102379</v>
      </c>
      <c r="E46" s="216"/>
      <c r="F46" s="180">
        <f>SUM(H2:H43)</f>
        <v>805.78301330666204</v>
      </c>
      <c r="G46" s="181"/>
      <c r="H46" s="187"/>
    </row>
    <row r="47" spans="1:8" x14ac:dyDescent="0.25">
      <c r="F47" s="207"/>
      <c r="G47" s="207"/>
    </row>
  </sheetData>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9"/>
  <sheetViews>
    <sheetView workbookViewId="0">
      <pane xSplit="1" topLeftCell="B1" activePane="topRight" state="frozen"/>
      <selection pane="topRight" activeCell="G12" sqref="G12:G13"/>
    </sheetView>
  </sheetViews>
  <sheetFormatPr defaultRowHeight="15" x14ac:dyDescent="0.25"/>
  <cols>
    <col min="1" max="1" width="29.42578125" style="165" customWidth="1"/>
    <col min="2" max="2" width="14.5703125" style="155" customWidth="1"/>
    <col min="3" max="4" width="12.5703125" style="155" bestFit="1" customWidth="1"/>
    <col min="5" max="5" width="14" style="155" bestFit="1" customWidth="1"/>
    <col min="6" max="6" width="14.42578125" style="155" bestFit="1" customWidth="1"/>
    <col min="7" max="7" width="14.42578125" bestFit="1" customWidth="1"/>
    <col min="8" max="10" width="14.42578125" customWidth="1"/>
    <col min="11" max="11" width="27.5703125" bestFit="1" customWidth="1"/>
    <col min="12" max="12" width="16.28515625" bestFit="1" customWidth="1"/>
    <col min="13" max="13" width="14.42578125" customWidth="1"/>
    <col min="14" max="14" width="14.85546875" bestFit="1" customWidth="1"/>
    <col min="15" max="15" width="23.140625" customWidth="1"/>
    <col min="16" max="17" width="14.42578125" customWidth="1"/>
    <col min="18" max="18" width="13.5703125" bestFit="1" customWidth="1"/>
    <col min="19" max="19" width="28.5703125" bestFit="1" customWidth="1"/>
    <col min="20" max="20" width="44.85546875" bestFit="1" customWidth="1"/>
  </cols>
  <sheetData>
    <row r="1" spans="1:36" s="73" customFormat="1" x14ac:dyDescent="0.25">
      <c r="A1" s="172" t="s">
        <v>266</v>
      </c>
      <c r="B1" s="227" t="s">
        <v>34</v>
      </c>
      <c r="C1" s="227"/>
      <c r="D1" s="227"/>
      <c r="E1" s="227"/>
      <c r="F1" s="227"/>
      <c r="G1" s="73" t="s">
        <v>251</v>
      </c>
      <c r="H1" s="197" t="s">
        <v>579</v>
      </c>
      <c r="T1" s="73" t="s">
        <v>190</v>
      </c>
      <c r="U1" s="73" t="s">
        <v>167</v>
      </c>
      <c r="W1" s="188">
        <f>'org&amp;wetland_päästökertoimet'!N3-'org&amp;wetland_päästökertoimet'!N2</f>
        <v>-8.06666666666667</v>
      </c>
    </row>
    <row r="2" spans="1:36" x14ac:dyDescent="0.25">
      <c r="A2" s="172" t="s">
        <v>32</v>
      </c>
      <c r="B2" s="227" t="s">
        <v>33</v>
      </c>
      <c r="C2" s="155" t="s">
        <v>31</v>
      </c>
      <c r="D2" s="155" t="s">
        <v>250</v>
      </c>
      <c r="E2" s="155" t="s">
        <v>248</v>
      </c>
      <c r="F2" s="155" t="s">
        <v>249</v>
      </c>
      <c r="G2" t="s">
        <v>273</v>
      </c>
      <c r="H2" t="s">
        <v>274</v>
      </c>
      <c r="I2" t="s">
        <v>252</v>
      </c>
      <c r="J2" t="s">
        <v>255</v>
      </c>
      <c r="K2" t="s">
        <v>287</v>
      </c>
      <c r="L2" t="s">
        <v>275</v>
      </c>
      <c r="M2" t="s">
        <v>254</v>
      </c>
      <c r="N2" t="s">
        <v>253</v>
      </c>
      <c r="O2" s="84" t="s">
        <v>257</v>
      </c>
      <c r="P2" s="84" t="s">
        <v>289</v>
      </c>
      <c r="Q2" s="84" t="s">
        <v>256</v>
      </c>
      <c r="R2" s="84" t="s">
        <v>276</v>
      </c>
      <c r="T2" t="s">
        <v>191</v>
      </c>
      <c r="U2" t="s">
        <v>246</v>
      </c>
      <c r="W2" s="1">
        <f>'org&amp;wetland_päästökertoimet'!N7-'org&amp;wetland_päästökertoimet'!N6</f>
        <v>-1.6389999999999993</v>
      </c>
    </row>
    <row r="3" spans="1:36" x14ac:dyDescent="0.25">
      <c r="A3" s="165" t="s">
        <v>30</v>
      </c>
      <c r="B3" s="198">
        <f>toimet!E5</f>
        <v>690.88547305122484</v>
      </c>
      <c r="C3" s="198">
        <f>(1-CRF4B!$E$4)*nurmet_kerääjäk_maanparannusk!B3</f>
        <v>616.07057208275432</v>
      </c>
      <c r="D3" s="198">
        <f>CRF4B!$E$4*nurmet_kerääjäk_maanparannusk!B3</f>
        <v>74.814900968470454</v>
      </c>
      <c r="E3" s="198">
        <f>(1-$AJ$14)*C3</f>
        <v>360.45705668140135</v>
      </c>
      <c r="F3" s="198">
        <f>(1-$AJ$15)*D3</f>
        <v>29.349200715613183</v>
      </c>
      <c r="G3" s="180">
        <f>(-$U$6--CRF4B!$J$4)*C3</f>
        <v>-687.45014386669345</v>
      </c>
      <c r="H3" s="180">
        <f t="shared" ref="H3:H8" si="0">$W$1*F3</f>
        <v>-236.75021910594643</v>
      </c>
      <c r="I3" s="180"/>
      <c r="J3" s="180">
        <f t="shared" ref="J3:J9" si="1">$W$2*F3</f>
        <v>-48.103339972889984</v>
      </c>
      <c r="K3" s="180">
        <f>-huuhtouma!H4</f>
        <v>-24.264884792806235</v>
      </c>
      <c r="L3" s="181">
        <f t="shared" ref="L3:L9" si="2">G3/B3</f>
        <v>-0.99502764304862334</v>
      </c>
      <c r="M3" s="182">
        <f>SUM(I3,J3,K3)</f>
        <v>-72.368224765696226</v>
      </c>
      <c r="N3" s="183">
        <f>SUM(G3,H3)</f>
        <v>-924.20036297263982</v>
      </c>
      <c r="O3" s="184">
        <f>-M3/$B3</f>
        <v>0.10474706386007711</v>
      </c>
      <c r="P3" s="185">
        <f>-M3/1000</f>
        <v>7.2368224765696224E-2</v>
      </c>
      <c r="Q3" s="185">
        <f>-N3/$B3</f>
        <v>1.3377041478249698</v>
      </c>
      <c r="R3" s="186">
        <f>-N3/1000</f>
        <v>0.92420036297263986</v>
      </c>
    </row>
    <row r="4" spans="1:36" x14ac:dyDescent="0.25">
      <c r="A4" s="165" t="s">
        <v>494</v>
      </c>
      <c r="B4" s="198"/>
      <c r="C4" s="198"/>
      <c r="D4" s="198"/>
      <c r="E4" s="198"/>
      <c r="F4" s="198"/>
      <c r="G4" s="180"/>
      <c r="H4" s="180"/>
      <c r="I4" s="180"/>
      <c r="J4" s="180"/>
      <c r="K4" s="180"/>
      <c r="L4" s="181"/>
      <c r="M4" s="182"/>
      <c r="N4" s="183"/>
      <c r="O4" s="184">
        <f>-SUM(I3:J3)/B3+huuhtouma!F5</f>
        <v>0.27684206386007715</v>
      </c>
      <c r="P4" s="184">
        <f>-SUM(J3:K3)/C3+huuhtouma!G5</f>
        <v>0.11746742669600406</v>
      </c>
      <c r="Q4" s="185"/>
      <c r="R4" s="186"/>
    </row>
    <row r="5" spans="1:36" x14ac:dyDescent="0.25">
      <c r="A5" s="165" t="s">
        <v>247</v>
      </c>
      <c r="B5" s="198">
        <f>toimet!E7</f>
        <v>14000</v>
      </c>
      <c r="C5" s="198">
        <f>(1-CRF4B!$E$4)*nurmet_kerääjäk_maanparannusk!B5</f>
        <v>12483.962024946315</v>
      </c>
      <c r="D5" s="198">
        <f>CRF4B!$E$4*nurmet_kerääjäk_maanparannusk!B5</f>
        <v>1516.0379750536852</v>
      </c>
      <c r="E5" s="198">
        <f>(1-$AJ$14)*C5</f>
        <v>7304.2479403318721</v>
      </c>
      <c r="F5" s="198">
        <f>(1-$AJ$15)*D5</f>
        <v>594.72781820688203</v>
      </c>
      <c r="G5" s="180">
        <f>(-$U$6--CRF4B!$J$4)*C5</f>
        <v>-13930.387002680729</v>
      </c>
      <c r="H5" s="180">
        <f t="shared" si="0"/>
        <v>-4797.4710668688504</v>
      </c>
      <c r="I5" s="180"/>
      <c r="J5" s="180">
        <f t="shared" si="1"/>
        <v>-974.75889404107932</v>
      </c>
      <c r="K5" s="181">
        <f>-huuhtouma!H9</f>
        <v>-757.21799999999996</v>
      </c>
      <c r="L5" s="181">
        <f t="shared" si="2"/>
        <v>-0.99502764304862346</v>
      </c>
      <c r="M5" s="182">
        <f>SUM(I5,J5,K5)</f>
        <v>-1731.9768940410793</v>
      </c>
      <c r="N5" s="183">
        <f t="shared" ref="N5:N11" si="3">SUM(G5,H5)</f>
        <v>-18727.85806954958</v>
      </c>
      <c r="O5" s="184">
        <f>-M5/$B5</f>
        <v>0.12371263528864852</v>
      </c>
      <c r="P5" s="185">
        <f>-M5/1000</f>
        <v>1.7319768940410794</v>
      </c>
      <c r="Q5" s="185">
        <f>-N5/$B5</f>
        <v>1.33770414782497</v>
      </c>
      <c r="R5" s="186">
        <f>-N5/1000</f>
        <v>18.72785806954958</v>
      </c>
      <c r="T5" t="s">
        <v>270</v>
      </c>
      <c r="U5">
        <v>0.221</v>
      </c>
      <c r="V5" t="s">
        <v>271</v>
      </c>
    </row>
    <row r="6" spans="1:36" x14ac:dyDescent="0.25">
      <c r="A6" s="165" t="s">
        <v>258</v>
      </c>
      <c r="B6" s="198">
        <f>toimet!E8</f>
        <v>10000</v>
      </c>
      <c r="C6" s="198">
        <f>(1-CRF4B!$E$4)*nurmet_kerääjäk_maanparannusk!B6</f>
        <v>8917.1157321045102</v>
      </c>
      <c r="D6" s="198">
        <f>CRF4B!$E$4*nurmet_kerääjäk_maanparannusk!B6</f>
        <v>1082.8842678954895</v>
      </c>
      <c r="E6" s="198">
        <f>(1-$AJ$14)*C6</f>
        <v>5217.3199573799084</v>
      </c>
      <c r="F6" s="198">
        <f>(1-$AJ$15)*D6</f>
        <v>424.80558443348724</v>
      </c>
      <c r="G6" s="180">
        <f>(-$U$6--CRF4B!$J$4)*C6</f>
        <v>-9950.2764304862358</v>
      </c>
      <c r="H6" s="180">
        <f t="shared" si="0"/>
        <v>-3426.7650477634652</v>
      </c>
      <c r="I6" s="180"/>
      <c r="J6" s="180">
        <f t="shared" si="1"/>
        <v>-696.25635288648527</v>
      </c>
      <c r="K6" s="181">
        <f>-huuhtouma!H10</f>
        <v>-143.99785714285713</v>
      </c>
      <c r="L6" s="181">
        <f t="shared" si="2"/>
        <v>-0.99502764304862357</v>
      </c>
      <c r="M6" s="182">
        <f>SUM(I6,J6,K6)</f>
        <v>-840.2542100293424</v>
      </c>
      <c r="N6" s="183">
        <f t="shared" si="3"/>
        <v>-13377.041478249701</v>
      </c>
      <c r="O6" s="184">
        <f t="shared" ref="O6:O7" si="4">-M6/$B6</f>
        <v>8.4025421002934239E-2</v>
      </c>
      <c r="P6" s="185">
        <f>-M6/1000</f>
        <v>0.84025421002934242</v>
      </c>
      <c r="Q6" s="185">
        <f t="shared" ref="Q6:Q11" si="5">-N6/$B6</f>
        <v>1.33770414782497</v>
      </c>
      <c r="R6" s="186">
        <f t="shared" ref="R6:R7" si="6">-N6/1000</f>
        <v>13.377041478249701</v>
      </c>
      <c r="U6">
        <f>44/12*U5</f>
        <v>0.81033333333333335</v>
      </c>
      <c r="V6" t="s">
        <v>272</v>
      </c>
    </row>
    <row r="7" spans="1:36" x14ac:dyDescent="0.25">
      <c r="A7" s="3" t="s">
        <v>259</v>
      </c>
      <c r="B7" s="198">
        <f>toimet!E10</f>
        <v>2000</v>
      </c>
      <c r="C7" s="198">
        <f>(1-CRF4B!$E$4)*nurmet_kerääjäk_maanparannusk!B7</f>
        <v>1783.423146420902</v>
      </c>
      <c r="D7" s="198">
        <f>CRF4B!$E$4*nurmet_kerääjäk_maanparannusk!B7</f>
        <v>216.5768535790979</v>
      </c>
      <c r="E7" s="198">
        <f>(1-$AJ$14)*C7</f>
        <v>1043.4639914759816</v>
      </c>
      <c r="F7" s="198">
        <f>(1-$AJ$15)*D7</f>
        <v>84.96111688669744</v>
      </c>
      <c r="G7" s="180">
        <f>(-$U$6--CRF4B!$J$4)*C7</f>
        <v>-1990.0552860972468</v>
      </c>
      <c r="H7" s="180">
        <f t="shared" si="0"/>
        <v>-685.35300955269292</v>
      </c>
      <c r="I7" s="180"/>
      <c r="J7" s="180">
        <f t="shared" si="1"/>
        <v>-139.25127057729705</v>
      </c>
      <c r="K7" s="180"/>
      <c r="L7" s="181">
        <f t="shared" si="2"/>
        <v>-0.99502764304862346</v>
      </c>
      <c r="M7" s="182"/>
      <c r="N7" s="183">
        <f t="shared" si="3"/>
        <v>-2675.4082956499396</v>
      </c>
      <c r="O7" s="184">
        <f t="shared" si="4"/>
        <v>0</v>
      </c>
      <c r="P7" s="185">
        <f>M7/1000</f>
        <v>0</v>
      </c>
      <c r="Q7" s="185">
        <f t="shared" si="5"/>
        <v>1.3377041478249698</v>
      </c>
      <c r="R7" s="186">
        <f t="shared" si="6"/>
        <v>2.6754082956499396</v>
      </c>
    </row>
    <row r="8" spans="1:36" ht="30" x14ac:dyDescent="0.25">
      <c r="A8" s="165" t="s">
        <v>265</v>
      </c>
      <c r="B8" s="198">
        <f>toimet!E15</f>
        <v>20000</v>
      </c>
      <c r="C8" s="199">
        <v>0</v>
      </c>
      <c r="D8" s="198">
        <f>B8</f>
        <v>20000</v>
      </c>
      <c r="E8" s="198">
        <v>0</v>
      </c>
      <c r="F8" s="198">
        <f>B8</f>
        <v>20000</v>
      </c>
      <c r="G8" s="180">
        <f>(-$U$6--CRF4B!$J$4)*C8</f>
        <v>0</v>
      </c>
      <c r="H8" s="180">
        <f t="shared" si="0"/>
        <v>-161333.3333333334</v>
      </c>
      <c r="I8" s="180"/>
      <c r="J8" s="180">
        <f t="shared" si="1"/>
        <v>-32779.999999999985</v>
      </c>
      <c r="K8" s="180">
        <f>-huuhtouma!H16</f>
        <v>-1257.3471428571434</v>
      </c>
      <c r="L8" s="181">
        <f t="shared" si="2"/>
        <v>0</v>
      </c>
      <c r="M8" s="182">
        <f>SUM(I8,J8,K8)</f>
        <v>-34037.347142857128</v>
      </c>
      <c r="N8" s="183">
        <f t="shared" si="3"/>
        <v>-161333.3333333334</v>
      </c>
      <c r="O8" s="185">
        <f>-M8/$B8</f>
        <v>1.7018673571428564</v>
      </c>
      <c r="P8" s="185">
        <f>-M8/1000</f>
        <v>34.037347142857129</v>
      </c>
      <c r="Q8" s="185">
        <f t="shared" si="5"/>
        <v>8.06666666666667</v>
      </c>
      <c r="R8" s="186">
        <f>-N8/1000</f>
        <v>161.3333333333334</v>
      </c>
      <c r="T8" t="s">
        <v>168</v>
      </c>
      <c r="U8">
        <v>2019</v>
      </c>
    </row>
    <row r="9" spans="1:36" x14ac:dyDescent="0.25">
      <c r="A9" s="165" t="s">
        <v>264</v>
      </c>
      <c r="B9" s="198">
        <f>toimet!E16</f>
        <v>-1591</v>
      </c>
      <c r="C9" s="198">
        <f>B9-D9</f>
        <v>-286.38000000000011</v>
      </c>
      <c r="D9" s="198">
        <f>0.82*B9</f>
        <v>-1304.6199999999999</v>
      </c>
      <c r="E9" s="198">
        <f>(1-$AJ$14)*C9</f>
        <v>-167.55822558353526</v>
      </c>
      <c r="F9" s="198">
        <f>(1-$AJ$15)*D9</f>
        <v>-511.79048213590215</v>
      </c>
      <c r="G9" s="180">
        <f>(-$U$6--CRF4B!$J$4)*C9</f>
        <v>319.56074696925913</v>
      </c>
      <c r="H9" s="180">
        <f>$W$1*F9</f>
        <v>4128.4432225629462</v>
      </c>
      <c r="I9" s="180"/>
      <c r="J9" s="180">
        <f t="shared" si="1"/>
        <v>838.82460022074326</v>
      </c>
      <c r="K9" s="180">
        <f>huuhtouma!H19</f>
        <v>50.22364285714287</v>
      </c>
      <c r="L9" s="181">
        <f t="shared" si="2"/>
        <v>-0.2008552777933747</v>
      </c>
      <c r="M9" s="182">
        <f>SUM(I9,J9,K9)</f>
        <v>889.04824307788613</v>
      </c>
      <c r="N9" s="183">
        <f t="shared" si="3"/>
        <v>4448.0039695322057</v>
      </c>
      <c r="O9" s="185">
        <f t="shared" ref="O9:O10" si="7">-M9/$B9</f>
        <v>0.55879839288364941</v>
      </c>
      <c r="P9" s="186">
        <f t="shared" ref="P9:P11" si="8">-M9/1000</f>
        <v>-0.8890482430778861</v>
      </c>
      <c r="Q9" s="185">
        <f t="shared" si="5"/>
        <v>2.7957284535086147</v>
      </c>
      <c r="R9" s="185">
        <f>-N9/1000</f>
        <v>-4.4480039695322056</v>
      </c>
    </row>
    <row r="10" spans="1:36" x14ac:dyDescent="0.25">
      <c r="A10" s="165" t="s">
        <v>277</v>
      </c>
      <c r="B10" s="198">
        <f>toimet!E11</f>
        <v>183000</v>
      </c>
      <c r="C10" s="198"/>
      <c r="D10" s="198"/>
      <c r="E10" s="198"/>
      <c r="F10" s="198"/>
      <c r="G10" s="187">
        <f>L10*B10</f>
        <v>-83875</v>
      </c>
      <c r="H10" s="180"/>
      <c r="I10" s="180"/>
      <c r="J10" s="180"/>
      <c r="K10" s="181">
        <f>-huuhtouma!H13</f>
        <v>-3534.971785714285</v>
      </c>
      <c r="L10" s="181">
        <f>-44/12*0.125</f>
        <v>-0.45833333333333331</v>
      </c>
      <c r="M10" s="182">
        <f>SUM(I10,J10,K10)</f>
        <v>-3534.971785714285</v>
      </c>
      <c r="N10" s="183">
        <f t="shared" si="3"/>
        <v>-83875</v>
      </c>
      <c r="O10" s="184">
        <f t="shared" si="7"/>
        <v>1.931678571428571E-2</v>
      </c>
      <c r="P10" s="185">
        <f t="shared" si="8"/>
        <v>3.5349717857142848</v>
      </c>
      <c r="Q10" s="185">
        <f t="shared" si="5"/>
        <v>0.45833333333333331</v>
      </c>
      <c r="R10" s="186">
        <f t="shared" ref="R10:R11" si="9">-N10/1000</f>
        <v>83.875</v>
      </c>
    </row>
    <row r="11" spans="1:36" ht="30" x14ac:dyDescent="0.25">
      <c r="A11" s="165" t="s">
        <v>284</v>
      </c>
      <c r="B11" s="198">
        <f>toimet!E12</f>
        <v>97000</v>
      </c>
      <c r="C11" s="198"/>
      <c r="D11" s="198"/>
      <c r="E11" s="198"/>
      <c r="F11" s="198"/>
      <c r="G11" s="180">
        <f>L11*B11</f>
        <v>-108950.01081087408</v>
      </c>
      <c r="H11" s="180"/>
      <c r="I11" s="180"/>
      <c r="J11" s="180"/>
      <c r="K11" s="180"/>
      <c r="L11" s="181">
        <f>(-44/12*0.223)--CRF4B!$J$4</f>
        <v>-1.1231959877409698</v>
      </c>
      <c r="M11" s="182"/>
      <c r="N11" s="183">
        <f t="shared" si="3"/>
        <v>-108950.01081087408</v>
      </c>
      <c r="O11" s="184"/>
      <c r="P11" s="185">
        <f t="shared" si="8"/>
        <v>0</v>
      </c>
      <c r="Q11" s="185">
        <f t="shared" si="5"/>
        <v>1.1231959877409698</v>
      </c>
      <c r="R11" s="186">
        <f t="shared" si="9"/>
        <v>108.95001081087408</v>
      </c>
    </row>
    <row r="12" spans="1:36" x14ac:dyDescent="0.25">
      <c r="D12" s="228"/>
      <c r="E12" s="228"/>
      <c r="F12" s="228"/>
      <c r="G12" s="1"/>
      <c r="H12" s="1"/>
      <c r="I12" s="1"/>
      <c r="J12" s="1"/>
      <c r="K12" s="1"/>
      <c r="L12" s="1"/>
      <c r="M12" s="1"/>
      <c r="N12" s="1"/>
      <c r="O12" s="1"/>
      <c r="P12" s="1"/>
      <c r="Q12" s="1"/>
      <c r="R12" s="1"/>
      <c r="T12" t="s">
        <v>169</v>
      </c>
      <c r="U12" t="s">
        <v>170</v>
      </c>
      <c r="V12" t="s">
        <v>189</v>
      </c>
    </row>
    <row r="13" spans="1:36" x14ac:dyDescent="0.25">
      <c r="R13" s="1"/>
      <c r="T13" t="s">
        <v>171</v>
      </c>
      <c r="U13" t="s">
        <v>172</v>
      </c>
      <c r="V13" t="s">
        <v>173</v>
      </c>
      <c r="W13" t="s">
        <v>174</v>
      </c>
      <c r="X13" t="s">
        <v>175</v>
      </c>
      <c r="Y13" t="s">
        <v>176</v>
      </c>
      <c r="Z13" t="s">
        <v>177</v>
      </c>
      <c r="AA13" t="s">
        <v>178</v>
      </c>
      <c r="AB13" t="s">
        <v>179</v>
      </c>
      <c r="AC13" t="s">
        <v>180</v>
      </c>
      <c r="AD13" t="s">
        <v>181</v>
      </c>
      <c r="AE13" t="s">
        <v>182</v>
      </c>
      <c r="AF13" t="s">
        <v>183</v>
      </c>
      <c r="AG13" t="s">
        <v>184</v>
      </c>
      <c r="AH13" t="s">
        <v>185</v>
      </c>
      <c r="AI13" t="s">
        <v>186</v>
      </c>
    </row>
    <row r="14" spans="1:36" ht="13.5" customHeight="1" x14ac:dyDescent="0.25">
      <c r="C14" s="228"/>
      <c r="D14" s="228"/>
      <c r="F14" s="228"/>
      <c r="T14" t="s">
        <v>187</v>
      </c>
      <c r="U14">
        <v>89396.257351699853</v>
      </c>
      <c r="V14">
        <v>288991.89979439898</v>
      </c>
      <c r="W14">
        <v>112313.03660637203</v>
      </c>
      <c r="X14">
        <v>146491.01024429465</v>
      </c>
      <c r="Y14">
        <v>163412.07579570968</v>
      </c>
      <c r="Z14">
        <v>423372.48789414344</v>
      </c>
      <c r="AA14">
        <v>20936.295310670452</v>
      </c>
      <c r="AB14">
        <v>18712.909616117009</v>
      </c>
      <c r="AC14">
        <v>37325.375209924241</v>
      </c>
      <c r="AD14">
        <v>18505.341245975414</v>
      </c>
      <c r="AE14">
        <v>746900.37978079368</v>
      </c>
      <c r="AF14">
        <v>36990.145421636487</v>
      </c>
      <c r="AG14">
        <v>10505.384430613069</v>
      </c>
      <c r="AH14">
        <v>39367.4447775976</v>
      </c>
      <c r="AI14">
        <v>2153220.0434799464</v>
      </c>
      <c r="AJ14" s="70">
        <f>SUM(X14,AE14)/AI14</f>
        <v>0.41490947138928985</v>
      </c>
    </row>
    <row r="15" spans="1:36" ht="13.5" customHeight="1" x14ac:dyDescent="0.25">
      <c r="T15" t="s">
        <v>188</v>
      </c>
      <c r="U15">
        <v>4807.0026483001793</v>
      </c>
      <c r="V15">
        <v>30523.010205601018</v>
      </c>
      <c r="W15">
        <v>10695.613393628042</v>
      </c>
      <c r="X15">
        <v>22523.219755705297</v>
      </c>
      <c r="Y15">
        <v>5190.7042042903431</v>
      </c>
      <c r="Z15">
        <v>31772.002105856576</v>
      </c>
      <c r="AA15">
        <v>793.25468932955039</v>
      </c>
      <c r="AB15">
        <v>509.14038388299815</v>
      </c>
      <c r="AC15">
        <v>1085.804790075747</v>
      </c>
      <c r="AD15">
        <v>1464.1087540245933</v>
      </c>
      <c r="AE15">
        <v>126194.3902192063</v>
      </c>
      <c r="AF15">
        <v>8449.4845783635119</v>
      </c>
      <c r="AG15">
        <v>146.645569386928</v>
      </c>
      <c r="AH15">
        <v>564.01522240243037</v>
      </c>
      <c r="AI15">
        <v>244718.39652005353</v>
      </c>
      <c r="AJ15" s="70">
        <f>SUM(X15,AE15)/AI15</f>
        <v>0.60770915505212075</v>
      </c>
    </row>
    <row r="16" spans="1:36" ht="13.5" customHeight="1" x14ac:dyDescent="0.25">
      <c r="T16" t="s">
        <v>186</v>
      </c>
      <c r="U16">
        <v>94203.260000000038</v>
      </c>
      <c r="V16">
        <v>319514.90999999997</v>
      </c>
      <c r="W16">
        <v>123008.65000000007</v>
      </c>
      <c r="X16">
        <v>169014.22999999995</v>
      </c>
      <c r="Y16">
        <v>168602.78000000003</v>
      </c>
      <c r="Z16">
        <v>455144.49</v>
      </c>
      <c r="AA16">
        <v>21729.550000000003</v>
      </c>
      <c r="AB16">
        <v>19222.050000000007</v>
      </c>
      <c r="AC16">
        <v>38411.179999999986</v>
      </c>
      <c r="AD16">
        <v>19969.450000000008</v>
      </c>
      <c r="AE16">
        <v>873094.77</v>
      </c>
      <c r="AF16">
        <v>45439.63</v>
      </c>
      <c r="AG16">
        <v>10652.029999999997</v>
      </c>
      <c r="AH16">
        <v>39931.460000000028</v>
      </c>
      <c r="AI16">
        <v>2397938.44</v>
      </c>
    </row>
    <row r="18" spans="1:46" x14ac:dyDescent="0.25">
      <c r="T18" t="s">
        <v>269</v>
      </c>
    </row>
    <row r="19" spans="1:46" x14ac:dyDescent="0.25">
      <c r="O19" s="72"/>
      <c r="P19" s="72"/>
      <c r="Q19" s="72"/>
      <c r="R19" s="72"/>
      <c r="T19" t="s">
        <v>164</v>
      </c>
      <c r="U19" s="7">
        <f>-CRF4B!J4</f>
        <v>0.30552932107430331</v>
      </c>
      <c r="V19" s="1">
        <f>-CRF4B!K4</f>
        <v>23.840434864031057</v>
      </c>
    </row>
    <row r="20" spans="1:46" x14ac:dyDescent="0.25">
      <c r="B20" s="229"/>
      <c r="C20" s="229"/>
      <c r="D20" s="229"/>
      <c r="F20" s="229"/>
      <c r="O20" s="156"/>
      <c r="P20" s="156"/>
      <c r="Q20" s="156"/>
      <c r="R20" s="156"/>
      <c r="T20" t="s">
        <v>156</v>
      </c>
      <c r="U20" s="1">
        <f>-CRF4B!J4*nurmet_kerääjäk_maanparannusk!C3</f>
        <v>188.22762362230156</v>
      </c>
      <c r="V20" s="1">
        <f>-CRF4B!K4*nurmet_kerääjäk_maanparannusk!D3</f>
        <v>1783.6197733977538</v>
      </c>
    </row>
    <row r="21" spans="1:46" x14ac:dyDescent="0.25">
      <c r="B21" s="229"/>
      <c r="C21" s="229"/>
      <c r="D21" s="229"/>
      <c r="F21" s="229"/>
      <c r="S21" s="72"/>
      <c r="T21" t="s">
        <v>165</v>
      </c>
      <c r="U21" s="69">
        <f>CRF3D!E16/CRF4B!D11</f>
        <v>1.0070946803588227E-4</v>
      </c>
      <c r="V21" s="6">
        <f>CRF3D!E17/CRF4B!E10</f>
        <v>1.9162352260304213E-2</v>
      </c>
    </row>
    <row r="22" spans="1:46" x14ac:dyDescent="0.25">
      <c r="B22" s="229"/>
      <c r="C22" s="229"/>
      <c r="D22" s="229"/>
      <c r="F22" s="229"/>
      <c r="S22" s="72"/>
      <c r="T22" t="s">
        <v>157</v>
      </c>
      <c r="U22" s="5">
        <f>U21*nurmet_kerääjäk_maanparannusk!C3</f>
        <v>6.2044139587015851E-2</v>
      </c>
      <c r="V22" s="5">
        <f>V21*nurmet_kerääjäk_maanparannusk!D3</f>
        <v>1.4336294866776056</v>
      </c>
    </row>
    <row r="23" spans="1:46" x14ac:dyDescent="0.25">
      <c r="B23" s="229"/>
      <c r="C23" s="229"/>
      <c r="D23" s="229"/>
      <c r="F23" s="229"/>
      <c r="S23" s="72"/>
      <c r="T23" t="s">
        <v>166</v>
      </c>
      <c r="U23" s="7">
        <f>GWP!$B$4*nurmet_kerääjäk_maanparannusk!U21</f>
        <v>3.0011421474692917E-2</v>
      </c>
      <c r="V23" s="7">
        <f>GWP!$B$4*nurmet_kerääjäk_maanparannusk!V21</f>
        <v>5.710380973570655</v>
      </c>
      <c r="AK23" s="72"/>
      <c r="AL23" s="72"/>
      <c r="AM23" s="72"/>
      <c r="AN23" s="72"/>
    </row>
    <row r="24" spans="1:46" x14ac:dyDescent="0.25">
      <c r="E24" s="230"/>
      <c r="S24" s="72"/>
      <c r="T24" t="s">
        <v>158</v>
      </c>
      <c r="U24" s="1">
        <f>GWP!$B$4*nurmet_kerääjäk_maanparannusk!U22</f>
        <v>18.489153596930723</v>
      </c>
      <c r="V24" s="1">
        <f>GWP!$B$4*nurmet_kerääjäk_maanparannusk!V22</f>
        <v>427.22158702992647</v>
      </c>
      <c r="AK24" s="72"/>
      <c r="AL24" s="72"/>
      <c r="AM24" s="72"/>
      <c r="AN24" s="72"/>
      <c r="AO24" s="72"/>
      <c r="AP24" s="72"/>
      <c r="AQ24" s="72"/>
      <c r="AR24" s="72"/>
    </row>
    <row r="25" spans="1:46" x14ac:dyDescent="0.25">
      <c r="E25" s="230"/>
      <c r="S25" s="72"/>
      <c r="AK25" s="72"/>
      <c r="AL25" s="72"/>
      <c r="AM25" s="72"/>
      <c r="AN25" s="72"/>
      <c r="AO25" s="72"/>
      <c r="AP25" s="72"/>
      <c r="AQ25" s="72"/>
      <c r="AR25" s="72"/>
      <c r="AS25" s="72"/>
      <c r="AT25" s="72"/>
    </row>
    <row r="26" spans="1:46" x14ac:dyDescent="0.25">
      <c r="E26" s="230"/>
      <c r="S26" s="72"/>
      <c r="AK26" s="72"/>
      <c r="AL26" s="72"/>
      <c r="AM26" s="72"/>
      <c r="AN26" s="72"/>
      <c r="AO26" s="72"/>
      <c r="AP26" s="72"/>
      <c r="AQ26" s="72"/>
      <c r="AR26" s="72"/>
      <c r="AS26" s="72"/>
      <c r="AT26" s="72"/>
    </row>
    <row r="27" spans="1:46" x14ac:dyDescent="0.25">
      <c r="E27" s="230"/>
      <c r="S27" s="72"/>
      <c r="AK27" s="72"/>
      <c r="AL27" s="72"/>
      <c r="AM27" s="72"/>
      <c r="AN27" s="72"/>
      <c r="AO27" s="72"/>
      <c r="AP27" s="72"/>
      <c r="AQ27" s="72"/>
      <c r="AR27" s="72"/>
      <c r="AS27" s="72"/>
      <c r="AT27" s="72"/>
    </row>
    <row r="28" spans="1:46" x14ac:dyDescent="0.25">
      <c r="B28" s="229"/>
      <c r="C28" s="229"/>
      <c r="D28" s="231"/>
      <c r="E28" s="229"/>
      <c r="F28" s="229"/>
      <c r="G28" s="72"/>
      <c r="H28" s="72"/>
      <c r="I28" s="72"/>
      <c r="J28" s="72"/>
      <c r="K28" s="72"/>
      <c r="L28" s="72"/>
      <c r="M28" s="72"/>
      <c r="N28" s="72"/>
      <c r="O28" s="72"/>
      <c r="P28" s="72"/>
      <c r="Q28" s="72"/>
      <c r="R28" s="72"/>
      <c r="S28" s="72"/>
      <c r="AK28" s="72"/>
      <c r="AL28" s="72"/>
      <c r="AM28" s="72"/>
      <c r="AN28" s="72"/>
      <c r="AO28" s="72"/>
      <c r="AP28" s="72"/>
      <c r="AQ28" s="72"/>
      <c r="AR28" s="72"/>
      <c r="AS28" s="72"/>
      <c r="AT28" s="72"/>
    </row>
    <row r="29" spans="1:46" x14ac:dyDescent="0.25">
      <c r="B29" s="229"/>
      <c r="C29" s="229"/>
      <c r="D29" s="231"/>
      <c r="E29" s="229"/>
      <c r="F29" s="229"/>
      <c r="G29" s="72"/>
      <c r="H29" s="72"/>
      <c r="I29" s="72"/>
      <c r="J29" s="72"/>
      <c r="K29" s="72"/>
      <c r="L29" s="72"/>
      <c r="M29" s="72"/>
      <c r="N29" s="72"/>
      <c r="O29" s="72"/>
      <c r="P29" s="72"/>
      <c r="Q29" s="72"/>
      <c r="R29" s="72"/>
      <c r="S29" s="72"/>
      <c r="AK29" s="72"/>
      <c r="AL29" s="72"/>
      <c r="AM29" s="72"/>
      <c r="AN29" s="72"/>
      <c r="AO29" s="72"/>
      <c r="AP29" s="72"/>
      <c r="AQ29" s="72"/>
      <c r="AR29" s="72"/>
      <c r="AS29" s="72"/>
      <c r="AT29" s="72"/>
    </row>
    <row r="30" spans="1:46" x14ac:dyDescent="0.25">
      <c r="B30" s="229"/>
      <c r="C30" s="229"/>
      <c r="D30" s="231"/>
      <c r="E30" s="229"/>
      <c r="F30" s="229"/>
      <c r="G30" s="72"/>
      <c r="H30" s="72"/>
      <c r="I30" s="72"/>
      <c r="J30" s="72"/>
      <c r="K30" s="72"/>
      <c r="L30" s="72"/>
      <c r="M30" s="72"/>
      <c r="N30" s="72"/>
      <c r="O30" s="72"/>
      <c r="P30" s="72"/>
      <c r="Q30" s="72"/>
      <c r="R30" s="72"/>
      <c r="S30" s="72"/>
      <c r="W30" s="72"/>
      <c r="X30" s="72"/>
      <c r="Y30" s="72"/>
      <c r="Z30" s="72"/>
      <c r="AA30" s="72"/>
      <c r="AB30" s="72"/>
      <c r="AK30" s="72"/>
      <c r="AL30" s="72"/>
      <c r="AM30" s="72"/>
      <c r="AN30" s="72"/>
      <c r="AO30" s="72"/>
      <c r="AP30" s="72"/>
      <c r="AQ30" s="72"/>
      <c r="AR30" s="72"/>
      <c r="AS30" s="72"/>
      <c r="AT30" s="72"/>
    </row>
    <row r="31" spans="1:46" s="72" customFormat="1" x14ac:dyDescent="0.25">
      <c r="A31" s="165"/>
      <c r="B31" s="229"/>
      <c r="C31" s="229"/>
      <c r="D31" s="231"/>
      <c r="E31" s="229"/>
      <c r="F31" s="229"/>
    </row>
    <row r="32" spans="1:46" s="72" customFormat="1" x14ac:dyDescent="0.25">
      <c r="A32" s="169"/>
      <c r="B32" s="229"/>
      <c r="C32" s="229"/>
      <c r="D32" s="231"/>
      <c r="E32" s="229"/>
      <c r="F32" s="229"/>
    </row>
    <row r="33" spans="1:46" s="72" customFormat="1" x14ac:dyDescent="0.25">
      <c r="A33" s="169"/>
      <c r="B33" s="229"/>
      <c r="C33" s="229"/>
      <c r="D33" s="231"/>
      <c r="E33" s="229"/>
      <c r="F33" s="229"/>
    </row>
    <row r="34" spans="1:46" s="72" customFormat="1" x14ac:dyDescent="0.25">
      <c r="A34" s="169"/>
      <c r="B34" s="229"/>
      <c r="C34" s="229"/>
      <c r="D34" s="231"/>
      <c r="E34" s="229"/>
      <c r="F34" s="229"/>
    </row>
    <row r="35" spans="1:46" s="72" customFormat="1" x14ac:dyDescent="0.25">
      <c r="A35" s="169"/>
      <c r="B35" s="229"/>
      <c r="C35" s="229"/>
      <c r="D35" s="231"/>
      <c r="E35" s="229"/>
      <c r="F35" s="229"/>
    </row>
    <row r="36" spans="1:46" s="72" customFormat="1" x14ac:dyDescent="0.25">
      <c r="A36" s="169"/>
      <c r="B36" s="229"/>
      <c r="C36" s="229"/>
      <c r="D36" s="231"/>
      <c r="E36" s="229"/>
      <c r="F36" s="229"/>
    </row>
    <row r="37" spans="1:46" s="72" customFormat="1" x14ac:dyDescent="0.25">
      <c r="A37" s="169"/>
      <c r="B37" s="229"/>
      <c r="C37" s="229"/>
      <c r="D37" s="231"/>
      <c r="E37" s="229"/>
      <c r="F37" s="229"/>
    </row>
    <row r="38" spans="1:46" s="72" customFormat="1" x14ac:dyDescent="0.25">
      <c r="A38" s="169"/>
      <c r="B38" s="229"/>
      <c r="C38" s="229"/>
      <c r="D38" s="231"/>
      <c r="E38" s="229"/>
      <c r="F38" s="229"/>
      <c r="S38"/>
    </row>
    <row r="39" spans="1:46" s="72" customFormat="1" x14ac:dyDescent="0.25">
      <c r="A39" s="169"/>
      <c r="B39" s="229"/>
      <c r="C39" s="229"/>
      <c r="D39" s="231"/>
      <c r="E39" s="229"/>
      <c r="F39" s="229"/>
      <c r="S39"/>
    </row>
    <row r="40" spans="1:46" s="72" customFormat="1" x14ac:dyDescent="0.25">
      <c r="A40" s="169"/>
      <c r="B40" s="229"/>
      <c r="C40" s="229"/>
      <c r="D40" s="231"/>
      <c r="E40" s="229"/>
      <c r="F40" s="229"/>
      <c r="S40"/>
      <c r="AK40"/>
      <c r="AL40"/>
      <c r="AM40"/>
      <c r="AN40"/>
    </row>
    <row r="41" spans="1:46" s="72" customFormat="1" x14ac:dyDescent="0.25">
      <c r="A41" s="169"/>
      <c r="B41" s="229"/>
      <c r="C41" s="229"/>
      <c r="D41" s="231"/>
      <c r="E41" s="229"/>
      <c r="F41" s="229"/>
      <c r="S41"/>
      <c r="AK41"/>
      <c r="AL41"/>
      <c r="AM41"/>
      <c r="AN41"/>
      <c r="AO41"/>
      <c r="AP41"/>
      <c r="AQ41"/>
      <c r="AR41"/>
    </row>
    <row r="42" spans="1:46" s="72" customFormat="1" x14ac:dyDescent="0.25">
      <c r="A42" s="169"/>
      <c r="B42" s="229"/>
      <c r="C42" s="229"/>
      <c r="D42" s="231"/>
      <c r="E42" s="229"/>
      <c r="F42" s="229"/>
      <c r="S42"/>
      <c r="AK42"/>
      <c r="AL42"/>
      <c r="AM42"/>
      <c r="AN42"/>
      <c r="AO42"/>
      <c r="AP42"/>
      <c r="AQ42"/>
      <c r="AR42"/>
      <c r="AS42"/>
      <c r="AT42"/>
    </row>
    <row r="43" spans="1:46" s="72" customFormat="1" x14ac:dyDescent="0.25">
      <c r="A43" s="169"/>
      <c r="B43" s="229"/>
      <c r="C43" s="229"/>
      <c r="D43" s="231"/>
      <c r="E43" s="229"/>
      <c r="F43" s="229"/>
      <c r="S43"/>
      <c r="AK43"/>
      <c r="AL43"/>
      <c r="AM43"/>
      <c r="AN43"/>
      <c r="AO43"/>
      <c r="AP43"/>
      <c r="AQ43"/>
      <c r="AR43"/>
      <c r="AS43"/>
      <c r="AT43"/>
    </row>
    <row r="44" spans="1:46" s="72" customFormat="1" x14ac:dyDescent="0.25">
      <c r="A44" s="169"/>
      <c r="B44" s="229"/>
      <c r="C44" s="229"/>
      <c r="D44" s="231"/>
      <c r="E44" s="229"/>
      <c r="F44" s="229"/>
      <c r="S44"/>
      <c r="AK44"/>
      <c r="AL44"/>
      <c r="AM44"/>
      <c r="AN44"/>
      <c r="AO44"/>
      <c r="AP44"/>
      <c r="AQ44"/>
      <c r="AR44"/>
      <c r="AS44"/>
      <c r="AT44"/>
    </row>
    <row r="45" spans="1:46" s="72" customFormat="1" x14ac:dyDescent="0.25">
      <c r="A45" s="165"/>
      <c r="B45" s="155"/>
      <c r="C45" s="155"/>
      <c r="D45" s="155"/>
      <c r="E45" s="229"/>
      <c r="F45" s="155"/>
      <c r="G45"/>
      <c r="H45"/>
      <c r="I45"/>
      <c r="J45"/>
      <c r="K45"/>
      <c r="L45"/>
      <c r="M45"/>
      <c r="N45"/>
      <c r="O45"/>
      <c r="P45"/>
      <c r="Q45"/>
      <c r="R45"/>
      <c r="S45"/>
      <c r="AK45"/>
      <c r="AL45"/>
      <c r="AM45"/>
      <c r="AN45"/>
      <c r="AO45"/>
      <c r="AP45"/>
      <c r="AQ45"/>
      <c r="AR45"/>
      <c r="AS45"/>
      <c r="AT45"/>
    </row>
    <row r="46" spans="1:46" s="72" customFormat="1" x14ac:dyDescent="0.25">
      <c r="A46" s="165"/>
      <c r="B46" s="155"/>
      <c r="C46" s="155"/>
      <c r="D46" s="155"/>
      <c r="E46" s="155"/>
      <c r="F46" s="155"/>
      <c r="G46"/>
      <c r="H46"/>
      <c r="I46"/>
      <c r="J46"/>
      <c r="K46"/>
      <c r="L46"/>
      <c r="M46"/>
      <c r="N46"/>
      <c r="O46"/>
      <c r="P46"/>
      <c r="Q46"/>
      <c r="R46"/>
      <c r="S46"/>
      <c r="AK46"/>
      <c r="AL46"/>
      <c r="AM46"/>
      <c r="AN46"/>
      <c r="AO46"/>
      <c r="AP46"/>
      <c r="AQ46"/>
      <c r="AR46"/>
      <c r="AS46"/>
      <c r="AT46"/>
    </row>
    <row r="47" spans="1:46" s="72" customFormat="1" x14ac:dyDescent="0.25">
      <c r="A47" s="165"/>
      <c r="B47" s="155"/>
      <c r="C47" s="155"/>
      <c r="D47" s="155"/>
      <c r="E47" s="155"/>
      <c r="F47" s="155"/>
      <c r="G47"/>
      <c r="H47"/>
      <c r="I47"/>
      <c r="J47"/>
      <c r="K47"/>
      <c r="L47"/>
      <c r="M47"/>
      <c r="N47"/>
      <c r="O47"/>
      <c r="P47"/>
      <c r="Q47"/>
      <c r="R47"/>
      <c r="S47"/>
      <c r="W47"/>
      <c r="X47"/>
      <c r="Y47"/>
      <c r="Z47"/>
      <c r="AA47"/>
      <c r="AB47"/>
      <c r="AK47"/>
      <c r="AL47"/>
      <c r="AM47"/>
      <c r="AN47"/>
      <c r="AO47"/>
      <c r="AP47"/>
      <c r="AQ47"/>
      <c r="AR47"/>
      <c r="AS47"/>
      <c r="AT47"/>
    </row>
    <row r="59" spans="5:5" x14ac:dyDescent="0.25">
      <c r="E59" s="232"/>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heetViews>
  <sheetFormatPr defaultRowHeight="15" x14ac:dyDescent="0.25"/>
  <cols>
    <col min="1" max="1" width="33.5703125" customWidth="1"/>
    <col min="3" max="3" width="12.42578125" customWidth="1"/>
  </cols>
  <sheetData>
    <row r="1" spans="1:4" x14ac:dyDescent="0.25">
      <c r="A1" t="s">
        <v>602</v>
      </c>
      <c r="B1">
        <f>0.75*7.7</f>
        <v>5.7750000000000004</v>
      </c>
      <c r="C1" t="s">
        <v>588</v>
      </c>
      <c r="D1" t="s">
        <v>622</v>
      </c>
    </row>
    <row r="2" spans="1:4" x14ac:dyDescent="0.25">
      <c r="A2" s="152" t="s">
        <v>603</v>
      </c>
      <c r="B2">
        <v>3.75</v>
      </c>
      <c r="C2" t="s">
        <v>597</v>
      </c>
      <c r="D2" t="s">
        <v>622</v>
      </c>
    </row>
    <row r="3" spans="1:4" x14ac:dyDescent="0.25">
      <c r="A3" s="152" t="s">
        <v>598</v>
      </c>
      <c r="B3">
        <v>33000</v>
      </c>
      <c r="C3" t="s">
        <v>599</v>
      </c>
      <c r="D3" t="s">
        <v>622</v>
      </c>
    </row>
    <row r="5" spans="1:4" x14ac:dyDescent="0.25">
      <c r="A5" s="157" t="s">
        <v>593</v>
      </c>
      <c r="B5" s="158">
        <v>0.01</v>
      </c>
      <c r="C5" t="s">
        <v>592</v>
      </c>
    </row>
    <row r="6" spans="1:4" x14ac:dyDescent="0.25">
      <c r="A6" s="157" t="s">
        <v>594</v>
      </c>
      <c r="B6" s="159">
        <v>7.4999999999999997E-3</v>
      </c>
      <c r="C6" t="s">
        <v>592</v>
      </c>
    </row>
    <row r="7" spans="1:4" x14ac:dyDescent="0.25">
      <c r="A7" t="s">
        <v>595</v>
      </c>
      <c r="B7" s="159">
        <f>44/28</f>
        <v>1.5714285714285714</v>
      </c>
      <c r="C7" t="s">
        <v>596</v>
      </c>
    </row>
    <row r="8" spans="1:4" x14ac:dyDescent="0.25">
      <c r="A8" t="s">
        <v>601</v>
      </c>
      <c r="B8" s="159">
        <v>298</v>
      </c>
    </row>
    <row r="9" spans="1:4" x14ac:dyDescent="0.25">
      <c r="A9" s="85"/>
      <c r="B9" s="86"/>
    </row>
    <row r="10" spans="1:4" x14ac:dyDescent="0.25">
      <c r="A10" t="s">
        <v>590</v>
      </c>
      <c r="B10">
        <f>[1]luonnos_lietelannansijoitt!$B$26*B5*B1</f>
        <v>9.0750000000000011E-2</v>
      </c>
      <c r="C10" t="s">
        <v>591</v>
      </c>
    </row>
    <row r="11" spans="1:4" x14ac:dyDescent="0.25">
      <c r="A11" t="s">
        <v>589</v>
      </c>
      <c r="B11">
        <f>[1]luonnos_lietelannansijoitt!$B$26*B6*B2</f>
        <v>4.4196428571428567E-2</v>
      </c>
      <c r="C11" t="s">
        <v>597</v>
      </c>
    </row>
    <row r="12" spans="1:4" x14ac:dyDescent="0.25">
      <c r="A12" t="s">
        <v>600</v>
      </c>
      <c r="B12" s="69">
        <f>SUM(B10:B11)</f>
        <v>0.13494642857142858</v>
      </c>
      <c r="C12" t="s">
        <v>591</v>
      </c>
    </row>
    <row r="13" spans="1:4" x14ac:dyDescent="0.25">
      <c r="A13" t="s">
        <v>470</v>
      </c>
      <c r="B13">
        <f>B12*B3</f>
        <v>4453.2321428571431</v>
      </c>
      <c r="C13" t="s">
        <v>591</v>
      </c>
    </row>
    <row r="14" spans="1:4" x14ac:dyDescent="0.25">
      <c r="A14" t="s">
        <v>600</v>
      </c>
      <c r="B14" s="6">
        <f>B8*B12/1000</f>
        <v>4.0214035714285716E-2</v>
      </c>
      <c r="C14" t="s">
        <v>524</v>
      </c>
    </row>
    <row r="15" spans="1:4" x14ac:dyDescent="0.25">
      <c r="A15" t="s">
        <v>470</v>
      </c>
      <c r="B15" s="1">
        <f>B8*B13/1000000</f>
        <v>1.3270631785714286</v>
      </c>
      <c r="C15" t="s">
        <v>514</v>
      </c>
    </row>
  </sheetData>
  <phoneticPr fontId="34"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F8" sqref="F8"/>
    </sheetView>
  </sheetViews>
  <sheetFormatPr defaultRowHeight="15" x14ac:dyDescent="0.25"/>
  <cols>
    <col min="1" max="1" width="36.5703125" style="165" bestFit="1" customWidth="1"/>
    <col min="2" max="2" width="15.42578125" bestFit="1" customWidth="1"/>
    <col min="3" max="3" width="16.140625" customWidth="1"/>
    <col min="4" max="4" width="13.42578125" customWidth="1"/>
    <col min="5" max="5" width="18.5703125" customWidth="1"/>
    <col min="6" max="6" width="17.140625" customWidth="1"/>
    <col min="7" max="7" width="14.42578125" customWidth="1"/>
    <col min="8" max="8" width="14.140625" bestFit="1" customWidth="1"/>
    <col min="9" max="9" width="36.85546875" bestFit="1" customWidth="1"/>
    <col min="10" max="10" width="36.7109375" bestFit="1" customWidth="1"/>
  </cols>
  <sheetData>
    <row r="1" spans="1:11" s="165" customFormat="1" ht="45" x14ac:dyDescent="0.25">
      <c r="B1" s="173" t="s">
        <v>491</v>
      </c>
      <c r="C1" s="165" t="s">
        <v>279</v>
      </c>
      <c r="D1" s="165" t="s">
        <v>472</v>
      </c>
      <c r="E1" s="165" t="s">
        <v>285</v>
      </c>
      <c r="F1" s="218" t="s">
        <v>286</v>
      </c>
      <c r="G1" s="219" t="s">
        <v>492</v>
      </c>
      <c r="H1" s="165" t="s">
        <v>288</v>
      </c>
      <c r="J1" s="220" t="s">
        <v>278</v>
      </c>
      <c r="K1" s="221">
        <v>7.4999999999999997E-3</v>
      </c>
    </row>
    <row r="2" spans="1:11" x14ac:dyDescent="0.25">
      <c r="A2" s="165" t="s">
        <v>485</v>
      </c>
      <c r="B2" s="187">
        <v>45000</v>
      </c>
      <c r="C2" s="187">
        <v>2.0499999999999998</v>
      </c>
      <c r="D2" s="187"/>
      <c r="E2" s="187">
        <f t="shared" ref="E2:E12" si="0">$K$1*C2*(44/28)</f>
        <v>2.4160714285714282E-2</v>
      </c>
      <c r="F2" s="189">
        <f>GWP!$B$4*huuhtouma!E2/1000</f>
        <v>7.1998928571428561E-3</v>
      </c>
      <c r="G2" s="190">
        <f t="shared" ref="G2:G7" si="1">H2/1000</f>
        <v>0.32399517857142857</v>
      </c>
      <c r="H2" s="180">
        <f t="shared" ref="H2:H7" si="2">B2*F2</f>
        <v>323.99517857142854</v>
      </c>
      <c r="J2" s="85"/>
      <c r="K2" s="86"/>
    </row>
    <row r="3" spans="1:11" x14ac:dyDescent="0.25">
      <c r="A3" s="165" t="s">
        <v>530</v>
      </c>
      <c r="B3" s="180">
        <f>D3/C3</f>
        <v>2697.080291970803</v>
      </c>
      <c r="C3" s="187">
        <v>27.4</v>
      </c>
      <c r="D3" s="187">
        <v>73900</v>
      </c>
      <c r="E3" s="187">
        <f t="shared" si="0"/>
        <v>0.3229285714285714</v>
      </c>
      <c r="F3" s="191">
        <f>GWP!$B$4*huuhtouma!E3/1000</f>
        <v>9.6232714285714283E-2</v>
      </c>
      <c r="G3" s="192">
        <f t="shared" si="1"/>
        <v>0.25954735714285715</v>
      </c>
      <c r="H3" s="180">
        <f t="shared" si="2"/>
        <v>259.54735714285715</v>
      </c>
      <c r="J3" s="85"/>
      <c r="K3" s="86"/>
    </row>
    <row r="4" spans="1:11" x14ac:dyDescent="0.25">
      <c r="A4" s="165" t="s">
        <v>490</v>
      </c>
      <c r="B4" s="180">
        <f>toimet!E5</f>
        <v>690.88547305122484</v>
      </c>
      <c r="C4" s="187">
        <v>10</v>
      </c>
      <c r="D4" s="187">
        <v>7052</v>
      </c>
      <c r="E4" s="187">
        <f t="shared" ref="E4" si="3">$K$1*C4*(44/28)</f>
        <v>0.11785714285714285</v>
      </c>
      <c r="F4" s="189">
        <f>GWP!$B$4*huuhtouma!E4/1000</f>
        <v>3.5121428571428574E-2</v>
      </c>
      <c r="G4" s="192">
        <f t="shared" si="1"/>
        <v>2.4264884792806234E-2</v>
      </c>
      <c r="H4" s="180">
        <f t="shared" si="2"/>
        <v>24.264884792806235</v>
      </c>
      <c r="J4" s="85"/>
      <c r="K4" s="86"/>
    </row>
    <row r="5" spans="1:11" x14ac:dyDescent="0.25">
      <c r="A5" s="165" t="s">
        <v>484</v>
      </c>
      <c r="B5" s="187"/>
      <c r="C5" s="187">
        <v>59</v>
      </c>
      <c r="D5" s="187"/>
      <c r="E5" s="187">
        <f t="shared" ref="E5" si="4">$K$1*C5*(44/28)</f>
        <v>0.6953571428571429</v>
      </c>
      <c r="F5" s="189">
        <f>GWP!$B$4*huuhtouma!E5/1000</f>
        <v>0.20721642857142861</v>
      </c>
      <c r="G5" s="192">
        <f t="shared" si="1"/>
        <v>0</v>
      </c>
      <c r="H5" s="180">
        <f t="shared" si="2"/>
        <v>0</v>
      </c>
      <c r="J5" s="85"/>
      <c r="K5" s="86"/>
    </row>
    <row r="6" spans="1:11" ht="30" x14ac:dyDescent="0.25">
      <c r="A6" s="165" t="s">
        <v>493</v>
      </c>
      <c r="B6" s="180">
        <f>D6/C6</f>
        <v>9000</v>
      </c>
      <c r="C6" s="187">
        <v>2.0499999999999998</v>
      </c>
      <c r="D6" s="187">
        <v>18450</v>
      </c>
      <c r="E6" s="187">
        <f t="shared" si="0"/>
        <v>2.4160714285714282E-2</v>
      </c>
      <c r="F6" s="191">
        <f>GWP!$B$4*huuhtouma!E6/1000</f>
        <v>7.1998928571428561E-3</v>
      </c>
      <c r="G6" s="192">
        <f t="shared" si="1"/>
        <v>6.4799035714285705E-2</v>
      </c>
      <c r="H6" s="180">
        <f t="shared" si="2"/>
        <v>64.799035714285708</v>
      </c>
      <c r="J6" s="85"/>
      <c r="K6" s="86"/>
    </row>
    <row r="7" spans="1:11" ht="30" x14ac:dyDescent="0.25">
      <c r="A7" s="165" t="s">
        <v>486</v>
      </c>
      <c r="B7" s="187">
        <v>1500</v>
      </c>
      <c r="C7" s="187">
        <v>2.0499999999999998</v>
      </c>
      <c r="D7" s="187"/>
      <c r="E7" s="187">
        <f t="shared" si="0"/>
        <v>2.4160714285714282E-2</v>
      </c>
      <c r="F7" s="189">
        <f>GWP!$B$4*huuhtouma!E7/1000</f>
        <v>7.1998928571428561E-3</v>
      </c>
      <c r="G7" s="192">
        <f t="shared" si="1"/>
        <v>1.0799839285714284E-2</v>
      </c>
      <c r="H7" s="180">
        <f t="shared" si="2"/>
        <v>10.799839285714285</v>
      </c>
    </row>
    <row r="8" spans="1:11" x14ac:dyDescent="0.25">
      <c r="A8" s="165" t="s">
        <v>487</v>
      </c>
      <c r="B8" s="187"/>
      <c r="C8" s="187">
        <v>16.8</v>
      </c>
      <c r="D8" s="187"/>
      <c r="E8" s="187">
        <f t="shared" ref="E8" si="5">$K$1*C8*(44/28)</f>
        <v>0.19800000000000001</v>
      </c>
      <c r="F8" s="189">
        <f>GWP!$B$4*huuhtouma!E8/1000</f>
        <v>5.9004000000000008E-2</v>
      </c>
      <c r="G8" s="193"/>
      <c r="H8" s="194"/>
    </row>
    <row r="9" spans="1:11" x14ac:dyDescent="0.25">
      <c r="A9" s="165" t="s">
        <v>280</v>
      </c>
      <c r="B9" s="187">
        <v>14000</v>
      </c>
      <c r="C9" s="187">
        <v>15.4</v>
      </c>
      <c r="D9" s="187"/>
      <c r="E9" s="187">
        <f t="shared" si="0"/>
        <v>0.18149999999999999</v>
      </c>
      <c r="F9" s="189">
        <f>GWP!$B$4*huuhtouma!E9/1000</f>
        <v>5.4086999999999996E-2</v>
      </c>
      <c r="G9" s="192">
        <f t="shared" ref="G9:G10" si="6">H9/1000</f>
        <v>0.75721799999999995</v>
      </c>
      <c r="H9" s="180">
        <f t="shared" ref="H9:H13" si="7">B9*F9</f>
        <v>757.21799999999996</v>
      </c>
    </row>
    <row r="10" spans="1:11" x14ac:dyDescent="0.25">
      <c r="A10" s="165" t="s">
        <v>281</v>
      </c>
      <c r="B10" s="187">
        <v>10000</v>
      </c>
      <c r="C10" s="187">
        <v>4.0999999999999996</v>
      </c>
      <c r="D10" s="187"/>
      <c r="E10" s="187">
        <f t="shared" si="0"/>
        <v>4.8321428571428564E-2</v>
      </c>
      <c r="F10" s="189">
        <f>GWP!$B$4*huuhtouma!E10/1000</f>
        <v>1.4399785714285712E-2</v>
      </c>
      <c r="G10" s="192">
        <f t="shared" si="6"/>
        <v>0.14399785714285712</v>
      </c>
      <c r="H10" s="180">
        <f t="shared" si="7"/>
        <v>143.99785714285713</v>
      </c>
    </row>
    <row r="11" spans="1:11" x14ac:dyDescent="0.25">
      <c r="A11" s="165" t="s">
        <v>471</v>
      </c>
      <c r="B11" s="180">
        <f>D11/C11</f>
        <v>293000</v>
      </c>
      <c r="C11" s="187">
        <v>6.68</v>
      </c>
      <c r="D11" s="187">
        <f>(126000+167000)*6.68</f>
        <v>1957240</v>
      </c>
      <c r="E11" s="195">
        <f t="shared" si="0"/>
        <v>7.8728571428571426E-2</v>
      </c>
      <c r="F11" s="189">
        <f>GWP!$B$4*huuhtouma!E11/1000</f>
        <v>2.3461114285714284E-2</v>
      </c>
      <c r="G11" s="192">
        <f>H11/1000</f>
        <v>6.874106485714286</v>
      </c>
      <c r="H11" s="180">
        <f t="shared" si="7"/>
        <v>6874.1064857142856</v>
      </c>
    </row>
    <row r="12" spans="1:11" x14ac:dyDescent="0.25">
      <c r="A12" s="165" t="s">
        <v>533</v>
      </c>
      <c r="B12" s="180">
        <f>D12/C12</f>
        <v>1835000</v>
      </c>
      <c r="C12" s="187">
        <v>0.76</v>
      </c>
      <c r="D12" s="187">
        <v>1394600</v>
      </c>
      <c r="E12" s="195">
        <f t="shared" si="0"/>
        <v>8.957142857142858E-3</v>
      </c>
      <c r="F12" s="191">
        <f>GWP!$B$4*huuhtouma!E12/1000</f>
        <v>2.6692285714285716E-3</v>
      </c>
      <c r="G12" s="192">
        <f>H12/1000</f>
        <v>4.898034428571429</v>
      </c>
      <c r="H12" s="180">
        <f t="shared" si="7"/>
        <v>4898.0344285714291</v>
      </c>
    </row>
    <row r="13" spans="1:11" x14ac:dyDescent="0.25">
      <c r="A13" s="165" t="s">
        <v>282</v>
      </c>
      <c r="B13" s="180">
        <f>toimet!E11</f>
        <v>183000</v>
      </c>
      <c r="C13" s="187">
        <v>5.5</v>
      </c>
      <c r="D13" s="187"/>
      <c r="E13" s="187">
        <f t="shared" ref="E13:E17" si="8">$K$1*C13*(44/28)</f>
        <v>6.4821428571428558E-2</v>
      </c>
      <c r="F13" s="189">
        <f>GWP!$B$4*huuhtouma!E13/1000</f>
        <v>1.931678571428571E-2</v>
      </c>
      <c r="G13" s="192"/>
      <c r="H13" s="180">
        <f t="shared" si="7"/>
        <v>3534.971785714285</v>
      </c>
    </row>
    <row r="14" spans="1:11" x14ac:dyDescent="0.25">
      <c r="A14" s="165" t="s">
        <v>22</v>
      </c>
      <c r="B14" s="180"/>
      <c r="C14" s="187"/>
      <c r="D14" s="187"/>
      <c r="E14" s="187"/>
      <c r="F14" s="189"/>
      <c r="G14" s="192"/>
      <c r="H14" s="180"/>
      <c r="I14" t="s">
        <v>620</v>
      </c>
    </row>
    <row r="15" spans="1:11" ht="30" x14ac:dyDescent="0.25">
      <c r="A15" s="165" t="s">
        <v>283</v>
      </c>
      <c r="B15" s="180">
        <f>D15/C15</f>
        <v>145000</v>
      </c>
      <c r="C15" s="187">
        <v>2.8</v>
      </c>
      <c r="D15" s="187">
        <v>406000</v>
      </c>
      <c r="E15" s="187">
        <f t="shared" si="8"/>
        <v>3.2999999999999995E-2</v>
      </c>
      <c r="F15" s="189">
        <f>GWP!$B$4*huuhtouma!E15/1000</f>
        <v>9.8339999999999973E-3</v>
      </c>
      <c r="G15" s="190">
        <f>H15/1000</f>
        <v>1.4259299999999997</v>
      </c>
      <c r="H15" s="180">
        <f t="shared" ref="H15:H17" si="9">B15*F15</f>
        <v>1425.9299999999996</v>
      </c>
    </row>
    <row r="16" spans="1:11" ht="30" x14ac:dyDescent="0.25">
      <c r="A16" s="165" t="s">
        <v>496</v>
      </c>
      <c r="B16" s="180">
        <f>D16/C16</f>
        <v>19888.888888888891</v>
      </c>
      <c r="C16" s="187">
        <v>18</v>
      </c>
      <c r="D16" s="187">
        <v>358000</v>
      </c>
      <c r="E16" s="187">
        <f t="shared" si="8"/>
        <v>0.21214285714285716</v>
      </c>
      <c r="F16" s="189">
        <f>GWP!$B$4*huuhtouma!E16/1000</f>
        <v>6.3218571428571443E-2</v>
      </c>
      <c r="G16" s="192"/>
      <c r="H16" s="180">
        <f t="shared" si="9"/>
        <v>1257.3471428571434</v>
      </c>
    </row>
    <row r="17" spans="1:8" x14ac:dyDescent="0.25">
      <c r="A17" s="165" t="s">
        <v>515</v>
      </c>
      <c r="B17" s="196">
        <f>SUM(kosteikot!O7:O9)</f>
        <v>900</v>
      </c>
      <c r="C17" s="187">
        <v>54</v>
      </c>
      <c r="D17" s="187"/>
      <c r="E17" s="195">
        <f t="shared" si="8"/>
        <v>0.63642857142857134</v>
      </c>
      <c r="F17" s="189">
        <f>GWP!$B$4*huuhtouma!E17/1000</f>
        <v>0.18965571428571426</v>
      </c>
      <c r="G17" s="192"/>
      <c r="H17" s="180">
        <f t="shared" si="9"/>
        <v>170.69014285714283</v>
      </c>
    </row>
    <row r="18" spans="1:8" x14ac:dyDescent="0.25">
      <c r="A18" s="165" t="s">
        <v>621</v>
      </c>
      <c r="B18" s="180">
        <f>D18/C18</f>
        <v>19957.081545064379</v>
      </c>
      <c r="C18" s="187">
        <v>2.33</v>
      </c>
      <c r="D18" s="187">
        <v>46500</v>
      </c>
      <c r="E18" s="195">
        <f t="shared" ref="E18:E19" si="10">$K$1*C18*(44/28)</f>
        <v>2.7460714285714286E-2</v>
      </c>
      <c r="F18" s="189">
        <f>GWP!$B$4*huuhtouma!E18/1000</f>
        <v>8.1832928571428584E-3</v>
      </c>
      <c r="G18" s="192">
        <f t="shared" ref="G18:G19" si="11">H18/1000</f>
        <v>0.16331464285714289</v>
      </c>
      <c r="H18" s="180">
        <f t="shared" ref="H18" si="12">B18*F18</f>
        <v>163.3146428571429</v>
      </c>
    </row>
    <row r="19" spans="1:8" x14ac:dyDescent="0.25">
      <c r="A19" s="165" t="s">
        <v>581</v>
      </c>
      <c r="B19" s="180">
        <f>D19/C19</f>
        <v>794.44444444444446</v>
      </c>
      <c r="C19" s="187">
        <v>18</v>
      </c>
      <c r="D19" s="187">
        <v>14300</v>
      </c>
      <c r="E19" s="195">
        <f t="shared" si="10"/>
        <v>0.21214285714285716</v>
      </c>
      <c r="F19" s="189">
        <f>GWP!$B$4*huuhtouma!E19/1000</f>
        <v>6.3218571428571443E-2</v>
      </c>
      <c r="G19" s="192">
        <f t="shared" si="11"/>
        <v>5.0223642857142869E-2</v>
      </c>
      <c r="H19" s="180">
        <f t="shared" ref="H19" si="13">B19*F19</f>
        <v>50.22364285714287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workbookViewId="0">
      <selection activeCell="H52" sqref="H52"/>
    </sheetView>
  </sheetViews>
  <sheetFormatPr defaultRowHeight="15" x14ac:dyDescent="0.25"/>
  <cols>
    <col min="1" max="1" width="54.140625" bestFit="1" customWidth="1"/>
    <col min="2" max="2" width="25.5703125" bestFit="1" customWidth="1"/>
    <col min="3" max="8" width="10.5703125" customWidth="1"/>
    <col min="9" max="9" width="8.140625" customWidth="1"/>
    <col min="10" max="10" width="15.140625" bestFit="1" customWidth="1"/>
  </cols>
  <sheetData>
    <row r="1" spans="1:17" x14ac:dyDescent="0.25">
      <c r="A1" s="87" t="s">
        <v>10</v>
      </c>
      <c r="B1" s="87">
        <v>2013</v>
      </c>
      <c r="C1" s="87">
        <v>2014</v>
      </c>
      <c r="D1" s="87">
        <v>2015</v>
      </c>
      <c r="E1" s="87">
        <v>2016</v>
      </c>
      <c r="F1" s="87">
        <v>2017</v>
      </c>
      <c r="G1" s="87">
        <v>2018</v>
      </c>
      <c r="H1" s="87">
        <v>2019</v>
      </c>
      <c r="I1" s="87"/>
      <c r="J1" s="87"/>
      <c r="K1" s="87">
        <v>2023</v>
      </c>
      <c r="L1" s="87">
        <v>2024</v>
      </c>
      <c r="M1" s="87">
        <v>2025</v>
      </c>
      <c r="N1" s="87">
        <v>2026</v>
      </c>
      <c r="O1" s="87">
        <v>2027</v>
      </c>
      <c r="P1" s="87"/>
      <c r="Q1" s="87"/>
    </row>
    <row r="2" spans="1:17" x14ac:dyDescent="0.25">
      <c r="A2" s="87" t="s">
        <v>8</v>
      </c>
      <c r="B2" s="148">
        <v>2164</v>
      </c>
      <c r="C2" s="148">
        <v>1802</v>
      </c>
      <c r="D2" s="148">
        <v>1844</v>
      </c>
      <c r="E2" s="148">
        <v>2068</v>
      </c>
      <c r="F2" s="148">
        <v>1839</v>
      </c>
      <c r="G2" s="148">
        <v>1943</v>
      </c>
      <c r="H2" s="148">
        <v>2112</v>
      </c>
      <c r="I2" s="148"/>
      <c r="J2" s="87"/>
      <c r="K2" s="87">
        <f>0.6*2000-100</f>
        <v>1100</v>
      </c>
      <c r="L2" s="87">
        <f t="shared" ref="L2:O3" si="0">0.6*2000-100</f>
        <v>1100</v>
      </c>
      <c r="M2" s="87">
        <f t="shared" si="0"/>
        <v>1100</v>
      </c>
      <c r="N2" s="87">
        <f t="shared" si="0"/>
        <v>1100</v>
      </c>
      <c r="O2" s="87">
        <f t="shared" si="0"/>
        <v>1100</v>
      </c>
      <c r="P2" s="87"/>
      <c r="Q2" s="87"/>
    </row>
    <row r="3" spans="1:17" x14ac:dyDescent="0.25">
      <c r="A3" s="87" t="s">
        <v>9</v>
      </c>
      <c r="B3" s="148">
        <v>3415</v>
      </c>
      <c r="C3" s="148">
        <v>2722</v>
      </c>
      <c r="D3" s="148">
        <v>2441</v>
      </c>
      <c r="E3" s="148">
        <v>1858</v>
      </c>
      <c r="F3" s="148">
        <v>1812</v>
      </c>
      <c r="G3" s="148">
        <v>1871</v>
      </c>
      <c r="H3" s="148">
        <v>1918</v>
      </c>
      <c r="I3" s="148"/>
      <c r="J3" s="87"/>
      <c r="K3" s="87">
        <f>0.6*2000-100</f>
        <v>1100</v>
      </c>
      <c r="L3" s="87">
        <f t="shared" si="0"/>
        <v>1100</v>
      </c>
      <c r="M3" s="87">
        <f t="shared" si="0"/>
        <v>1100</v>
      </c>
      <c r="N3" s="87">
        <f t="shared" si="0"/>
        <v>1100</v>
      </c>
      <c r="O3" s="87">
        <f t="shared" si="0"/>
        <v>1100</v>
      </c>
      <c r="P3" s="87"/>
      <c r="Q3" s="87"/>
    </row>
    <row r="4" spans="1:17" x14ac:dyDescent="0.25">
      <c r="A4" s="87"/>
      <c r="B4" s="148"/>
      <c r="C4" s="148"/>
      <c r="D4" s="148"/>
      <c r="E4" s="148"/>
      <c r="F4" s="148"/>
      <c r="G4" s="148"/>
      <c r="H4" s="148"/>
      <c r="I4" s="148"/>
      <c r="J4" s="87"/>
      <c r="K4" s="87"/>
      <c r="L4" s="87"/>
      <c r="M4" s="87"/>
      <c r="N4" s="87"/>
      <c r="O4" s="87"/>
      <c r="P4" s="87"/>
      <c r="Q4" s="87"/>
    </row>
    <row r="5" spans="1:17" x14ac:dyDescent="0.25">
      <c r="A5" s="87" t="s">
        <v>488</v>
      </c>
      <c r="B5" s="148"/>
      <c r="C5" s="148"/>
      <c r="D5" s="148"/>
      <c r="E5" s="148"/>
      <c r="F5" s="148"/>
      <c r="G5" s="148"/>
      <c r="H5" s="148"/>
      <c r="I5" s="148"/>
      <c r="J5" s="87"/>
      <c r="K5" s="87"/>
      <c r="L5" s="87"/>
      <c r="M5" s="87"/>
      <c r="N5" s="87"/>
      <c r="O5" s="87"/>
      <c r="P5" s="87"/>
      <c r="Q5" s="87"/>
    </row>
    <row r="6" spans="1:17" x14ac:dyDescent="0.25">
      <c r="A6" s="87" t="s">
        <v>489</v>
      </c>
      <c r="B6" s="148"/>
      <c r="C6" s="148"/>
      <c r="D6" s="148"/>
      <c r="E6" s="148"/>
      <c r="F6" s="148"/>
      <c r="G6" s="148"/>
      <c r="H6" s="148"/>
      <c r="I6" s="148"/>
      <c r="J6" s="87"/>
      <c r="K6" s="87"/>
      <c r="L6" s="87"/>
      <c r="M6" s="87"/>
      <c r="N6" s="87"/>
      <c r="O6" s="87"/>
      <c r="P6" s="87"/>
      <c r="Q6" s="87"/>
    </row>
    <row r="7" spans="1:17" x14ac:dyDescent="0.25">
      <c r="A7" t="s">
        <v>482</v>
      </c>
      <c r="B7" s="148"/>
      <c r="C7" s="148"/>
      <c r="D7" s="148"/>
      <c r="E7" s="148"/>
      <c r="F7" s="148"/>
      <c r="G7" s="148"/>
      <c r="H7" s="148"/>
      <c r="I7" s="148"/>
      <c r="J7" s="87"/>
      <c r="K7" s="87"/>
      <c r="L7" s="87"/>
      <c r="M7" s="87"/>
      <c r="N7" s="87"/>
      <c r="O7" s="87"/>
      <c r="P7" s="87"/>
      <c r="Q7" s="87"/>
    </row>
    <row r="8" spans="1:17" x14ac:dyDescent="0.25">
      <c r="A8" t="s">
        <v>483</v>
      </c>
      <c r="B8" s="2"/>
      <c r="C8" s="2"/>
      <c r="D8" s="2"/>
      <c r="E8" s="2"/>
      <c r="F8" s="2"/>
      <c r="G8" s="2"/>
      <c r="H8" s="2"/>
      <c r="I8" s="2"/>
    </row>
    <row r="9" spans="1:17" x14ac:dyDescent="0.25">
      <c r="B9" s="2"/>
      <c r="C9" s="2"/>
      <c r="D9" s="2"/>
      <c r="E9" s="2"/>
      <c r="F9" s="2"/>
      <c r="G9" s="2"/>
      <c r="H9" s="2"/>
      <c r="I9" s="2"/>
    </row>
    <row r="10" spans="1:17" x14ac:dyDescent="0.25">
      <c r="A10" s="4" t="s">
        <v>465</v>
      </c>
      <c r="B10" s="4" t="s">
        <v>417</v>
      </c>
      <c r="C10" s="4" t="s">
        <v>335</v>
      </c>
    </row>
    <row r="11" spans="1:17" x14ac:dyDescent="0.25">
      <c r="A11" s="4" t="s">
        <v>474</v>
      </c>
      <c r="B11" s="4"/>
      <c r="C11" s="4"/>
    </row>
    <row r="12" spans="1:17" x14ac:dyDescent="0.25">
      <c r="A12" t="s">
        <v>477</v>
      </c>
      <c r="B12" s="1">
        <f>(44/12)*CRF4B!M15/'CRF4.1'!D7</f>
        <v>-175.2370967741935</v>
      </c>
      <c r="D12" s="6"/>
    </row>
    <row r="13" spans="1:17" x14ac:dyDescent="0.25">
      <c r="A13" t="s">
        <v>333</v>
      </c>
      <c r="B13" s="7">
        <f>-'org&amp;wetland_päästökertoimet'!N2</f>
        <v>-28.966666666666669</v>
      </c>
      <c r="C13" s="1">
        <f>B13-$B$16</f>
        <v>-29.27482292267031</v>
      </c>
    </row>
    <row r="14" spans="1:17" x14ac:dyDescent="0.25">
      <c r="A14" t="s">
        <v>334</v>
      </c>
      <c r="B14" s="7">
        <f>-'org&amp;wetland_päästökertoimet'!N3</f>
        <v>-20.9</v>
      </c>
      <c r="C14" s="1">
        <f>B14-$B$16</f>
        <v>-21.20815625600364</v>
      </c>
      <c r="D14" s="91"/>
      <c r="E14" s="92"/>
    </row>
    <row r="15" spans="1:17" x14ac:dyDescent="0.25">
      <c r="A15" t="s">
        <v>478</v>
      </c>
      <c r="B15" s="6">
        <f>(44/12)*CRF4B!J13</f>
        <v>-1.78405293909018</v>
      </c>
      <c r="C15" s="1">
        <f>B15-B17</f>
        <v>-3.2626836068798397</v>
      </c>
    </row>
    <row r="16" spans="1:17" x14ac:dyDescent="0.25">
      <c r="A16" t="s">
        <v>475</v>
      </c>
      <c r="B16" s="6">
        <f>(44/12)*SUM(CRF4A!H11,CRF4A!L11)</f>
        <v>0.30815625600364011</v>
      </c>
    </row>
    <row r="17" spans="1:6" x14ac:dyDescent="0.25">
      <c r="A17" t="s">
        <v>476</v>
      </c>
      <c r="B17" s="6">
        <f>(44/12)*SUM(CRF4A!H11,CRF4A!K11)</f>
        <v>1.4786306677896599</v>
      </c>
    </row>
    <row r="18" spans="1:6" x14ac:dyDescent="0.25">
      <c r="A18" s="4" t="s">
        <v>162</v>
      </c>
      <c r="B18" s="6"/>
    </row>
    <row r="19" spans="1:6" x14ac:dyDescent="0.25">
      <c r="A19" t="s">
        <v>415</v>
      </c>
      <c r="B19" s="6">
        <f>'org&amp;wetland_päästökertoimet'!N6</f>
        <v>6.0877142857142852</v>
      </c>
      <c r="C19" s="1">
        <f>B19-$B$22</f>
        <v>5.6577070383489962</v>
      </c>
    </row>
    <row r="20" spans="1:6" x14ac:dyDescent="0.25">
      <c r="A20" t="s">
        <v>416</v>
      </c>
      <c r="B20" s="6">
        <f>'org&amp;wetland_päästökertoimet'!N7</f>
        <v>4.4487142857142858</v>
      </c>
      <c r="C20" s="1">
        <f>B20-$B$22</f>
        <v>4.0187070383489969</v>
      </c>
    </row>
    <row r="21" spans="1:6" x14ac:dyDescent="0.25">
      <c r="A21" t="s">
        <v>459</v>
      </c>
      <c r="B21" s="6">
        <f>GWP!B4*((44/28)*'CRF4(III)'!C20)/1000</f>
        <v>0.11284686213506931</v>
      </c>
    </row>
    <row r="22" spans="1:6" x14ac:dyDescent="0.25">
      <c r="A22" t="s">
        <v>460</v>
      </c>
      <c r="B22" s="6">
        <f>GWP!B4*((44/28)*'CRF4(II)'!E11)/1000</f>
        <v>0.43000724736528922</v>
      </c>
    </row>
    <row r="24" spans="1:6" x14ac:dyDescent="0.25">
      <c r="A24" s="4" t="s">
        <v>479</v>
      </c>
      <c r="B24" s="4">
        <v>2023</v>
      </c>
      <c r="C24" s="4">
        <v>2024</v>
      </c>
      <c r="D24" s="4">
        <v>2025</v>
      </c>
      <c r="E24" s="4">
        <v>2026</v>
      </c>
      <c r="F24" s="4">
        <v>2027</v>
      </c>
    </row>
    <row r="25" spans="1:6" x14ac:dyDescent="0.25">
      <c r="A25" t="s">
        <v>25</v>
      </c>
      <c r="B25">
        <v>900</v>
      </c>
      <c r="C25">
        <v>900</v>
      </c>
      <c r="D25">
        <v>900</v>
      </c>
      <c r="E25">
        <v>900</v>
      </c>
      <c r="F25">
        <v>900</v>
      </c>
    </row>
    <row r="26" spans="1:6" x14ac:dyDescent="0.25">
      <c r="A26" t="s">
        <v>24</v>
      </c>
      <c r="B26">
        <f>SUM($B25:B25)</f>
        <v>900</v>
      </c>
      <c r="C26">
        <f>SUM($B25:C25)</f>
        <v>1800</v>
      </c>
      <c r="D26">
        <f>SUM($B25:D25)</f>
        <v>2700</v>
      </c>
      <c r="E26">
        <f>SUM($B25:E25)</f>
        <v>3600</v>
      </c>
      <c r="F26">
        <f>SUM($B25:F25)</f>
        <v>4500</v>
      </c>
    </row>
    <row r="27" spans="1:6" x14ac:dyDescent="0.25">
      <c r="A27" t="s">
        <v>26</v>
      </c>
      <c r="B27">
        <f>800</f>
        <v>800</v>
      </c>
      <c r="C27">
        <f>800</f>
        <v>800</v>
      </c>
      <c r="D27">
        <f>800</f>
        <v>800</v>
      </c>
      <c r="E27">
        <f>800</f>
        <v>800</v>
      </c>
      <c r="F27">
        <f>800</f>
        <v>800</v>
      </c>
    </row>
    <row r="28" spans="1:6" x14ac:dyDescent="0.25">
      <c r="A28" t="s">
        <v>28</v>
      </c>
      <c r="B28">
        <f>SUM($B27:B27)</f>
        <v>800</v>
      </c>
      <c r="C28">
        <f>SUM($B27:C27)</f>
        <v>1600</v>
      </c>
      <c r="D28">
        <f>SUM($B27:D27)</f>
        <v>2400</v>
      </c>
      <c r="E28">
        <f>SUM($B27:E27)</f>
        <v>3200</v>
      </c>
      <c r="F28">
        <f>SUM($B27:F27)</f>
        <v>4000</v>
      </c>
    </row>
    <row r="29" spans="1:6" x14ac:dyDescent="0.25">
      <c r="A29" t="s">
        <v>27</v>
      </c>
      <c r="B29">
        <f>100</f>
        <v>100</v>
      </c>
      <c r="C29">
        <f>100</f>
        <v>100</v>
      </c>
      <c r="D29">
        <f>100</f>
        <v>100</v>
      </c>
      <c r="E29">
        <f>100</f>
        <v>100</v>
      </c>
      <c r="F29">
        <f>100</f>
        <v>100</v>
      </c>
    </row>
    <row r="30" spans="1:6" x14ac:dyDescent="0.25">
      <c r="A30" t="s">
        <v>29</v>
      </c>
      <c r="B30">
        <f>SUM($B29:B29)</f>
        <v>100</v>
      </c>
      <c r="C30">
        <f>SUM($B29:C29)</f>
        <v>200</v>
      </c>
      <c r="D30">
        <f>SUM($B29:D29)</f>
        <v>300</v>
      </c>
      <c r="E30">
        <f>SUM($B29:E29)</f>
        <v>400</v>
      </c>
      <c r="F30">
        <f>SUM($B29:F29)</f>
        <v>500</v>
      </c>
    </row>
    <row r="31" spans="1:6" x14ac:dyDescent="0.25">
      <c r="A31" s="4" t="s">
        <v>480</v>
      </c>
    </row>
    <row r="32" spans="1:6" x14ac:dyDescent="0.25">
      <c r="A32" t="s">
        <v>336</v>
      </c>
      <c r="B32" s="1">
        <f>-$B$12*B25</f>
        <v>157713.38709677415</v>
      </c>
      <c r="C32" s="1">
        <f t="shared" ref="C32:F32" si="1">-$B$12*C25</f>
        <v>157713.38709677415</v>
      </c>
      <c r="D32" s="1">
        <f t="shared" si="1"/>
        <v>157713.38709677415</v>
      </c>
      <c r="E32" s="1">
        <f t="shared" si="1"/>
        <v>157713.38709677415</v>
      </c>
      <c r="F32" s="1">
        <f t="shared" si="1"/>
        <v>157713.38709677415</v>
      </c>
    </row>
    <row r="33" spans="1:11" x14ac:dyDescent="0.25">
      <c r="A33" t="s">
        <v>337</v>
      </c>
      <c r="B33" s="1">
        <f>-$B$12*B25</f>
        <v>157713.38709677415</v>
      </c>
      <c r="C33" s="1">
        <f t="shared" ref="C33:F33" si="2">-$B$12*C25</f>
        <v>157713.38709677415</v>
      </c>
      <c r="D33" s="1">
        <f t="shared" si="2"/>
        <v>157713.38709677415</v>
      </c>
      <c r="E33" s="1">
        <f t="shared" si="2"/>
        <v>157713.38709677415</v>
      </c>
      <c r="F33" s="1">
        <f t="shared" si="2"/>
        <v>157713.38709677415</v>
      </c>
    </row>
    <row r="34" spans="1:11" x14ac:dyDescent="0.25">
      <c r="A34" t="s">
        <v>338</v>
      </c>
      <c r="B34" s="1">
        <f>-$C$13*B28</f>
        <v>23419.858338136248</v>
      </c>
      <c r="C34" s="1">
        <f t="shared" ref="C34:F34" si="3">-$C$13*C28</f>
        <v>46839.716676272496</v>
      </c>
      <c r="D34" s="1">
        <f t="shared" si="3"/>
        <v>70259.575014408751</v>
      </c>
      <c r="E34" s="1">
        <f t="shared" si="3"/>
        <v>93679.433352544991</v>
      </c>
      <c r="F34" s="1">
        <f t="shared" si="3"/>
        <v>117099.29169068125</v>
      </c>
    </row>
    <row r="35" spans="1:11" x14ac:dyDescent="0.25">
      <c r="A35" t="s">
        <v>339</v>
      </c>
      <c r="B35" s="1">
        <f>-$C$14*B30</f>
        <v>2120.815625600364</v>
      </c>
      <c r="C35" s="1">
        <f t="shared" ref="C35:F35" si="4">-$C$14*C30</f>
        <v>4241.631251200728</v>
      </c>
      <c r="D35" s="1">
        <f t="shared" si="4"/>
        <v>6362.446876801092</v>
      </c>
      <c r="E35" s="1">
        <f t="shared" si="4"/>
        <v>8483.262502401456</v>
      </c>
      <c r="F35" s="1">
        <f t="shared" si="4"/>
        <v>10604.07812800182</v>
      </c>
    </row>
    <row r="36" spans="1:11" x14ac:dyDescent="0.25">
      <c r="A36" t="s">
        <v>299</v>
      </c>
      <c r="B36" s="1">
        <f>-$C$15*B26</f>
        <v>2936.4152461918557</v>
      </c>
      <c r="C36" s="1">
        <f t="shared" ref="C36:F36" si="5">-$C$15*C26</f>
        <v>5872.8304923837113</v>
      </c>
      <c r="D36" s="1">
        <f t="shared" si="5"/>
        <v>8809.2457385755679</v>
      </c>
      <c r="E36" s="1">
        <f t="shared" si="5"/>
        <v>11745.660984767423</v>
      </c>
      <c r="F36" s="1">
        <f t="shared" si="5"/>
        <v>14682.076230959279</v>
      </c>
    </row>
    <row r="37" spans="1:11" x14ac:dyDescent="0.25">
      <c r="A37" s="4" t="s">
        <v>481</v>
      </c>
      <c r="B37" s="1"/>
      <c r="C37" s="1"/>
      <c r="D37" s="1"/>
      <c r="E37" s="1"/>
      <c r="F37" s="1"/>
    </row>
    <row r="38" spans="1:11" x14ac:dyDescent="0.25">
      <c r="A38" s="87" t="s">
        <v>461</v>
      </c>
      <c r="B38" s="1">
        <f>-$B$22*B26</f>
        <v>-387.00652262876031</v>
      </c>
      <c r="C38" s="1">
        <f t="shared" ref="C38:F38" si="6">-$B$22*C26</f>
        <v>-774.01304525752062</v>
      </c>
      <c r="D38" s="1">
        <f t="shared" si="6"/>
        <v>-1161.0195678862808</v>
      </c>
      <c r="E38" s="1">
        <f t="shared" si="6"/>
        <v>-1548.0260905150412</v>
      </c>
      <c r="F38" s="1">
        <f t="shared" si="6"/>
        <v>-1935.0326131438014</v>
      </c>
    </row>
    <row r="39" spans="1:11" x14ac:dyDescent="0.25">
      <c r="A39" t="s">
        <v>463</v>
      </c>
      <c r="B39" s="1">
        <f>$B19*B28</f>
        <v>4870.1714285714279</v>
      </c>
      <c r="C39" s="1">
        <f t="shared" ref="C39:F39" si="7">$B19*C28</f>
        <v>9740.3428571428558</v>
      </c>
      <c r="D39" s="1">
        <f t="shared" si="7"/>
        <v>14610.514285714284</v>
      </c>
      <c r="E39" s="1">
        <f t="shared" si="7"/>
        <v>19480.685714285712</v>
      </c>
      <c r="F39" s="1">
        <f t="shared" si="7"/>
        <v>24350.857142857141</v>
      </c>
    </row>
    <row r="40" spans="1:11" x14ac:dyDescent="0.25">
      <c r="A40" t="s">
        <v>464</v>
      </c>
      <c r="B40" s="1">
        <f>$B20*B30</f>
        <v>444.87142857142857</v>
      </c>
      <c r="C40" s="1">
        <f t="shared" ref="C40:F40" si="8">$B20*C30</f>
        <v>889.74285714285713</v>
      </c>
      <c r="D40" s="1">
        <f t="shared" si="8"/>
        <v>1334.6142857142856</v>
      </c>
      <c r="E40" s="1">
        <f t="shared" si="8"/>
        <v>1779.4857142857143</v>
      </c>
      <c r="F40" s="1">
        <f t="shared" si="8"/>
        <v>2224.3571428571431</v>
      </c>
    </row>
    <row r="41" spans="1:11" x14ac:dyDescent="0.25">
      <c r="A41" t="s">
        <v>462</v>
      </c>
      <c r="B41" s="1">
        <f>$B$21*B26</f>
        <v>101.56217592156237</v>
      </c>
      <c r="C41" s="1">
        <f t="shared" ref="C41:F41" si="9">$B$21*C26</f>
        <v>203.12435184312474</v>
      </c>
      <c r="D41" s="1">
        <f t="shared" si="9"/>
        <v>304.68652776468713</v>
      </c>
      <c r="E41" s="1">
        <f t="shared" si="9"/>
        <v>406.24870368624948</v>
      </c>
      <c r="F41" s="1">
        <f t="shared" si="9"/>
        <v>507.8108796078119</v>
      </c>
    </row>
    <row r="43" spans="1:11" x14ac:dyDescent="0.25">
      <c r="A43" s="4" t="s">
        <v>532</v>
      </c>
      <c r="G43" s="149" t="s">
        <v>466</v>
      </c>
      <c r="H43" s="149" t="s">
        <v>470</v>
      </c>
      <c r="I43" t="s">
        <v>528</v>
      </c>
      <c r="J43" t="s">
        <v>529</v>
      </c>
    </row>
    <row r="44" spans="1:11" x14ac:dyDescent="0.25">
      <c r="A44" t="s">
        <v>468</v>
      </c>
      <c r="B44" s="1">
        <f>SUM(B32,B34:B35,B38)/1000</f>
        <v>182.86705453788201</v>
      </c>
      <c r="C44" s="1">
        <f t="shared" ref="C44:F44" si="10">SUM(C32,C34:C35,C38)/1000</f>
        <v>208.02072197898985</v>
      </c>
      <c r="D44" s="1">
        <f t="shared" si="10"/>
        <v>233.17438942009773</v>
      </c>
      <c r="E44" s="1">
        <f t="shared" si="10"/>
        <v>258.32805686120554</v>
      </c>
      <c r="F44" s="1">
        <f t="shared" si="10"/>
        <v>283.48172430231347</v>
      </c>
      <c r="G44" s="150">
        <f>AVERAGE(B44:F44)</f>
        <v>233.17438942009775</v>
      </c>
      <c r="H44" s="150">
        <f>SUM(B44:F44)</f>
        <v>1165.8719471004888</v>
      </c>
      <c r="I44">
        <f>H44/$F$26</f>
        <v>0.25908265491121973</v>
      </c>
      <c r="J44" s="1">
        <f>I44/5*1000</f>
        <v>51.816530982243947</v>
      </c>
      <c r="K44" t="s">
        <v>468</v>
      </c>
    </row>
    <row r="45" spans="1:11" x14ac:dyDescent="0.25">
      <c r="A45" t="s">
        <v>467</v>
      </c>
      <c r="B45" s="1">
        <f>SUM(B33,B36,B41)/1000</f>
        <v>160.75136451888756</v>
      </c>
      <c r="C45" s="1">
        <f t="shared" ref="C45:F45" si="11">SUM(C33,C36,C41)/1000</f>
        <v>163.78934194100097</v>
      </c>
      <c r="D45" s="1">
        <f t="shared" si="11"/>
        <v>166.82731936311438</v>
      </c>
      <c r="E45" s="1">
        <f t="shared" si="11"/>
        <v>169.86529678522783</v>
      </c>
      <c r="F45" s="1">
        <f t="shared" si="11"/>
        <v>172.90327420734121</v>
      </c>
      <c r="G45" s="150">
        <f>AVERAGE(B45:F45)</f>
        <v>166.82731936311438</v>
      </c>
      <c r="H45" s="150">
        <f t="shared" ref="H45:H46" si="12">SUM(B45:F45)</f>
        <v>834.13659681557192</v>
      </c>
      <c r="I45">
        <f>H45/$F$26</f>
        <v>0.18536368818123822</v>
      </c>
      <c r="J45" s="1">
        <f>I45/5*1000</f>
        <v>37.072737636247645</v>
      </c>
      <c r="K45" t="s">
        <v>467</v>
      </c>
    </row>
    <row r="46" spans="1:11" x14ac:dyDescent="0.25">
      <c r="A46" t="s">
        <v>469</v>
      </c>
      <c r="B46" s="1">
        <f>SUM(B39:B40)/1000</f>
        <v>5.3150428571428563</v>
      </c>
      <c r="C46" s="1">
        <f t="shared" ref="C46:F46" si="13">SUM(C39:C40)/1000</f>
        <v>10.630085714285713</v>
      </c>
      <c r="D46" s="1">
        <f t="shared" si="13"/>
        <v>15.945128571428569</v>
      </c>
      <c r="E46" s="1">
        <f t="shared" si="13"/>
        <v>21.260171428571425</v>
      </c>
      <c r="F46" s="1">
        <f t="shared" si="13"/>
        <v>26.575214285714281</v>
      </c>
      <c r="G46" s="150">
        <f>AVERAGE(B46:F46)</f>
        <v>15.945128571428569</v>
      </c>
      <c r="H46" s="150">
        <f t="shared" si="12"/>
        <v>79.725642857142844</v>
      </c>
      <c r="I46">
        <f>H46/F26</f>
        <v>1.771680952380952E-2</v>
      </c>
      <c r="J46" s="7">
        <f>I46/5*1000</f>
        <v>3.543361904761904</v>
      </c>
      <c r="K46" t="s">
        <v>469</v>
      </c>
    </row>
    <row r="47" spans="1:11" x14ac:dyDescent="0.25">
      <c r="A47" t="s">
        <v>586</v>
      </c>
      <c r="B47" s="1"/>
      <c r="C47" s="1"/>
      <c r="D47" s="1"/>
      <c r="E47" s="1"/>
      <c r="F47" s="1"/>
      <c r="G47" s="1">
        <f>SUM(G45,huuhtouma!G3)</f>
        <v>167.08686672025723</v>
      </c>
      <c r="H47" s="150"/>
      <c r="J47" s="1">
        <f>SUM(J45,huuhtouma!F3)</f>
        <v>37.168970350533357</v>
      </c>
    </row>
    <row r="48" spans="1:11" x14ac:dyDescent="0.25">
      <c r="A48" t="s">
        <v>531</v>
      </c>
      <c r="G48" s="1">
        <f>SUM(G46,huuhtouma!G3)</f>
        <v>16.204675928571426</v>
      </c>
      <c r="H48" s="150"/>
      <c r="J48" s="7">
        <f>SUM(J46,huuhtouma!F3)</f>
        <v>3.6395946190476183</v>
      </c>
    </row>
    <row r="49" spans="1:10" x14ac:dyDescent="0.25">
      <c r="A49" s="4"/>
    </row>
    <row r="50" spans="1:10" x14ac:dyDescent="0.25">
      <c r="A50" s="87" t="s">
        <v>626</v>
      </c>
      <c r="B50" s="1">
        <f>SUM(B32,B34:B35,B38/298*265)/1000</f>
        <v>182.90991096488455</v>
      </c>
      <c r="C50" s="1">
        <f t="shared" ref="C50:F50" si="14">SUM(C32,C34:C35,C38/298*265)/1000</f>
        <v>208.10643483299489</v>
      </c>
      <c r="D50" s="1">
        <f t="shared" si="14"/>
        <v>233.30295870110527</v>
      </c>
      <c r="E50" s="1">
        <f t="shared" si="14"/>
        <v>258.49948256921562</v>
      </c>
      <c r="F50" s="1">
        <f t="shared" si="14"/>
        <v>283.69600643732605</v>
      </c>
      <c r="G50" s="1">
        <f>SUM(AVERAGE(B44:F44), huuhtouma!G2/298*265)</f>
        <v>233.46250593795489</v>
      </c>
    </row>
    <row r="51" spans="1:10" x14ac:dyDescent="0.25">
      <c r="A51" t="s">
        <v>624</v>
      </c>
      <c r="B51" s="1">
        <f>SUM(B33,B36,(B41/298*265))/1000</f>
        <v>160.74011770074858</v>
      </c>
      <c r="C51" s="1">
        <f t="shared" ref="C51:F51" si="15">SUM(C33,C36,(C41/298*265))/1000</f>
        <v>163.76684830472306</v>
      </c>
      <c r="D51" s="1">
        <f t="shared" si="15"/>
        <v>166.7935789086975</v>
      </c>
      <c r="E51" s="1">
        <f t="shared" si="15"/>
        <v>169.82030951267197</v>
      </c>
      <c r="F51" s="1">
        <f t="shared" si="15"/>
        <v>172.84704011664641</v>
      </c>
      <c r="G51" s="1">
        <f>SUM(AVERAGE(B45:F45), huuhtouma!G3/298*265)</f>
        <v>167.05812489882868</v>
      </c>
      <c r="J51" s="1"/>
    </row>
  </sheetData>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
  <sheetViews>
    <sheetView workbookViewId="0">
      <selection activeCell="L8" sqref="L8"/>
    </sheetView>
  </sheetViews>
  <sheetFormatPr defaultRowHeight="15" x14ac:dyDescent="0.25"/>
  <cols>
    <col min="1" max="1" width="14.85546875" style="165" bestFit="1" customWidth="1"/>
    <col min="2" max="2" width="17.85546875" style="165" bestFit="1" customWidth="1"/>
    <col min="3" max="3" width="9.28515625" style="165" bestFit="1" customWidth="1"/>
    <col min="4" max="4" width="27.140625" style="165" customWidth="1"/>
    <col min="5" max="5" width="27.140625" style="165" bestFit="1" customWidth="1"/>
    <col min="6" max="6" width="11.7109375" style="165" bestFit="1" customWidth="1"/>
    <col min="7" max="7" width="15.28515625" style="165" bestFit="1" customWidth="1"/>
    <col min="8" max="8" width="15.7109375" style="169" bestFit="1" customWidth="1"/>
    <col min="9" max="9" width="22.140625" style="165" customWidth="1"/>
    <col min="10" max="10" width="17.85546875" style="165" customWidth="1"/>
    <col min="11" max="11" width="16" style="165" customWidth="1"/>
    <col min="12" max="12" width="18.28515625" style="165" customWidth="1"/>
    <col min="13" max="13" width="13.42578125" style="165" customWidth="1"/>
  </cols>
  <sheetData>
    <row r="1" spans="1:13" s="165" customFormat="1" ht="60" x14ac:dyDescent="0.25">
      <c r="A1" s="165" t="s">
        <v>495</v>
      </c>
      <c r="B1" s="165" t="s">
        <v>290</v>
      </c>
      <c r="C1" s="165" t="s">
        <v>291</v>
      </c>
      <c r="D1" s="165" t="s">
        <v>292</v>
      </c>
      <c r="E1" s="165" t="s">
        <v>293</v>
      </c>
      <c r="F1" s="165" t="s">
        <v>294</v>
      </c>
      <c r="G1" s="165" t="s">
        <v>295</v>
      </c>
      <c r="H1" s="169" t="s">
        <v>297</v>
      </c>
      <c r="I1" s="165" t="s">
        <v>296</v>
      </c>
      <c r="J1" s="175" t="s">
        <v>473</v>
      </c>
      <c r="K1" s="175" t="s">
        <v>583</v>
      </c>
      <c r="L1" s="175" t="s">
        <v>497</v>
      </c>
      <c r="M1" s="175" t="s">
        <v>298</v>
      </c>
    </row>
    <row r="2" spans="1:13" x14ac:dyDescent="0.25">
      <c r="A2" s="165">
        <v>52000</v>
      </c>
      <c r="B2" s="165">
        <v>60000</v>
      </c>
      <c r="C2" s="165">
        <v>3000</v>
      </c>
      <c r="D2" s="165">
        <v>14.175000000000001</v>
      </c>
      <c r="E2" s="165">
        <v>0.74925714285714284</v>
      </c>
      <c r="F2" s="165">
        <v>20.9</v>
      </c>
      <c r="G2" s="165">
        <v>4.4487142857142858</v>
      </c>
      <c r="H2" s="222">
        <f>G2-valumavesien_hallinta!E2</f>
        <v>3.6994571428571428</v>
      </c>
      <c r="I2" s="168">
        <f>F2-valumavesien_hallinta!D2</f>
        <v>6.7249999999999979</v>
      </c>
      <c r="J2" s="223">
        <f>1000*(K2/A5)</f>
        <v>1.4077107589285716</v>
      </c>
      <c r="K2" s="224">
        <f>H2*$C2/1000+huuhtouma!G18</f>
        <v>11.261686071428572</v>
      </c>
      <c r="L2" s="225">
        <f>1000*(M2/A5)</f>
        <v>2.5218749999999992</v>
      </c>
      <c r="M2" s="225">
        <f>I2*$C2/1000</f>
        <v>20.174999999999994</v>
      </c>
    </row>
    <row r="3" spans="1:13" x14ac:dyDescent="0.25">
      <c r="C3" s="165">
        <f>C2/B2</f>
        <v>0.05</v>
      </c>
    </row>
    <row r="4" spans="1:13" x14ac:dyDescent="0.25">
      <c r="A4" s="165" t="s">
        <v>10</v>
      </c>
      <c r="C4" s="165">
        <f>C2/(B2-A2)</f>
        <v>0.375</v>
      </c>
    </row>
    <row r="5" spans="1:13" x14ac:dyDescent="0.25">
      <c r="A5" s="165">
        <f>B2-A2</f>
        <v>8000</v>
      </c>
      <c r="C5" s="165">
        <f>5000/A5</f>
        <v>0.625</v>
      </c>
    </row>
    <row r="8" spans="1:13" x14ac:dyDescent="0.25">
      <c r="D8" s="165" t="s">
        <v>527</v>
      </c>
      <c r="E8" s="165">
        <f>6.7*3</f>
        <v>20.100000000000001</v>
      </c>
    </row>
    <row r="9" spans="1:13" x14ac:dyDescent="0.25">
      <c r="E9" s="165">
        <f>3.7*3</f>
        <v>11.100000000000001</v>
      </c>
    </row>
    <row r="12" spans="1:13" x14ac:dyDescent="0.25">
      <c r="A12" s="226" t="s">
        <v>159</v>
      </c>
    </row>
    <row r="13" spans="1:13" ht="45" x14ac:dyDescent="0.25">
      <c r="A13" s="165" t="s">
        <v>495</v>
      </c>
      <c r="B13" s="165" t="s">
        <v>290</v>
      </c>
      <c r="C13" s="165" t="s">
        <v>291</v>
      </c>
      <c r="D13" s="165" t="s">
        <v>292</v>
      </c>
      <c r="F13" s="165" t="s">
        <v>294</v>
      </c>
      <c r="I13" s="165" t="s">
        <v>296</v>
      </c>
      <c r="J13" s="175"/>
      <c r="K13" s="175"/>
      <c r="L13" s="175" t="s">
        <v>497</v>
      </c>
      <c r="M13" s="175" t="s">
        <v>298</v>
      </c>
    </row>
    <row r="14" spans="1:13" x14ac:dyDescent="0.25">
      <c r="A14" s="165">
        <v>52000</v>
      </c>
      <c r="B14" s="165">
        <v>60000</v>
      </c>
      <c r="C14" s="165">
        <v>3000</v>
      </c>
      <c r="D14" s="168">
        <f>SUM('org&amp;wetland_päästökertoimet'!N4,'org&amp;wetland_päästökertoimet'!N10/25*28)</f>
        <v>14.292</v>
      </c>
      <c r="F14" s="165">
        <v>20.9</v>
      </c>
      <c r="H14" s="222"/>
      <c r="I14" s="168">
        <f>F14-valumavesien_hallinta!D14</f>
        <v>6.6079999999999988</v>
      </c>
      <c r="J14" s="223"/>
      <c r="K14" s="224"/>
      <c r="L14" s="225">
        <f>1000*(M14/A5)</f>
        <v>2.4779999999999998</v>
      </c>
      <c r="M14" s="225">
        <f>I14*$C14/1000</f>
        <v>19.823999999999998</v>
      </c>
    </row>
  </sheetData>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0"/>
  <sheetViews>
    <sheetView zoomScaleNormal="100" workbookViewId="0">
      <selection activeCell="E11" sqref="E11"/>
    </sheetView>
  </sheetViews>
  <sheetFormatPr defaultRowHeight="15" x14ac:dyDescent="0.25"/>
  <cols>
    <col min="1" max="1" width="38.85546875" customWidth="1"/>
    <col min="3" max="3" width="16.42578125" customWidth="1"/>
    <col min="16" max="16" width="4" customWidth="1"/>
  </cols>
  <sheetData>
    <row r="1" spans="1:38" x14ac:dyDescent="0.25">
      <c r="A1" s="4" t="s">
        <v>500</v>
      </c>
      <c r="B1" s="71">
        <v>2015</v>
      </c>
      <c r="C1" s="71">
        <v>2016</v>
      </c>
      <c r="D1" s="71">
        <v>2017</v>
      </c>
      <c r="E1" s="71">
        <v>2018</v>
      </c>
      <c r="F1" s="71">
        <v>2019</v>
      </c>
      <c r="G1" s="71">
        <v>2020</v>
      </c>
      <c r="H1" s="71">
        <v>2021</v>
      </c>
      <c r="I1" s="71">
        <v>2022</v>
      </c>
      <c r="J1" s="151">
        <v>2023</v>
      </c>
      <c r="K1" s="71">
        <v>2024</v>
      </c>
      <c r="L1" s="71">
        <v>2025</v>
      </c>
      <c r="M1" s="71">
        <v>2026</v>
      </c>
      <c r="N1" s="151">
        <v>2027</v>
      </c>
      <c r="O1" s="71" t="s">
        <v>466</v>
      </c>
      <c r="P1" s="71" t="s">
        <v>509</v>
      </c>
      <c r="Q1" s="71" t="s">
        <v>510</v>
      </c>
      <c r="R1" s="71" t="s">
        <v>511</v>
      </c>
      <c r="S1" s="71" t="s">
        <v>513</v>
      </c>
      <c r="T1" s="71" t="s">
        <v>512</v>
      </c>
      <c r="U1" s="71" t="s">
        <v>514</v>
      </c>
      <c r="V1" s="71"/>
      <c r="Z1" s="71"/>
      <c r="AA1" s="71"/>
      <c r="AB1" s="71"/>
      <c r="AC1" s="71"/>
      <c r="AD1" s="71"/>
      <c r="AE1" s="71"/>
      <c r="AF1" s="71"/>
      <c r="AG1" s="71"/>
      <c r="AH1" s="71"/>
      <c r="AI1" s="71"/>
      <c r="AJ1" s="71"/>
      <c r="AK1" s="71"/>
      <c r="AL1" s="71"/>
    </row>
    <row r="2" spans="1:38" x14ac:dyDescent="0.25">
      <c r="A2" t="s">
        <v>499</v>
      </c>
      <c r="B2" s="2">
        <v>754</v>
      </c>
      <c r="C2" s="2">
        <v>842</v>
      </c>
      <c r="D2" s="2">
        <v>903</v>
      </c>
      <c r="E2" s="2">
        <v>1019</v>
      </c>
      <c r="F2" s="2">
        <v>1249</v>
      </c>
      <c r="J2" s="2">
        <v>1500</v>
      </c>
      <c r="K2" s="2">
        <v>1800</v>
      </c>
      <c r="L2" s="2">
        <v>2100</v>
      </c>
      <c r="M2" s="2">
        <v>2400</v>
      </c>
      <c r="N2" s="2">
        <v>3000</v>
      </c>
    </row>
    <row r="3" spans="1:38" x14ac:dyDescent="0.25">
      <c r="A3" t="s">
        <v>501</v>
      </c>
      <c r="B3" s="2"/>
      <c r="C3" s="2">
        <f t="shared" ref="C3:E3" si="0">C2-B2</f>
        <v>88</v>
      </c>
      <c r="D3" s="2">
        <f t="shared" si="0"/>
        <v>61</v>
      </c>
      <c r="E3" s="2">
        <f t="shared" si="0"/>
        <v>116</v>
      </c>
      <c r="F3" s="2">
        <f>F2-E2</f>
        <v>230</v>
      </c>
      <c r="J3" s="2">
        <v>300</v>
      </c>
      <c r="K3" s="2">
        <v>300</v>
      </c>
      <c r="L3" s="2">
        <v>300</v>
      </c>
      <c r="M3" s="2">
        <v>300</v>
      </c>
      <c r="N3" s="2">
        <v>300</v>
      </c>
    </row>
    <row r="4" spans="1:38" x14ac:dyDescent="0.25">
      <c r="A4" t="s">
        <v>502</v>
      </c>
      <c r="J4" s="2">
        <v>100</v>
      </c>
      <c r="K4" s="2">
        <v>100</v>
      </c>
      <c r="L4" s="2">
        <v>100</v>
      </c>
      <c r="M4" s="2">
        <v>100</v>
      </c>
      <c r="N4" s="2">
        <v>100</v>
      </c>
    </row>
    <row r="5" spans="1:38" x14ac:dyDescent="0.25">
      <c r="A5" t="s">
        <v>504</v>
      </c>
      <c r="J5" s="2">
        <f>0.1*(J3-J4)</f>
        <v>20</v>
      </c>
      <c r="K5" s="2">
        <f>0.1*(K3-K4)</f>
        <v>20</v>
      </c>
      <c r="L5" s="2">
        <f>0.1*(L3-L4)</f>
        <v>20</v>
      </c>
      <c r="M5" s="2">
        <f>0.1*(M3-M4)</f>
        <v>20</v>
      </c>
      <c r="N5" s="2">
        <f>0.1*(N3-N4)</f>
        <v>20</v>
      </c>
    </row>
    <row r="6" spans="1:38" x14ac:dyDescent="0.25">
      <c r="A6" s="71" t="s">
        <v>503</v>
      </c>
      <c r="B6" s="71"/>
      <c r="C6" s="71"/>
      <c r="D6" s="71"/>
      <c r="E6" s="71"/>
      <c r="F6" s="71"/>
      <c r="G6" s="71"/>
      <c r="H6" s="71"/>
      <c r="I6" s="71"/>
      <c r="J6" s="153">
        <f>0.9*(J3-J4)</f>
        <v>180</v>
      </c>
      <c r="K6" s="153">
        <f>0.9*(K3-K4)</f>
        <v>180</v>
      </c>
      <c r="L6" s="153">
        <f>0.9*(L3-L4)</f>
        <v>180</v>
      </c>
      <c r="M6" s="153">
        <f>0.9*(M3-M4)</f>
        <v>180</v>
      </c>
      <c r="N6" s="153">
        <f>0.9*(N3-N4)</f>
        <v>180</v>
      </c>
    </row>
    <row r="7" spans="1:38" x14ac:dyDescent="0.25">
      <c r="A7" t="s">
        <v>518</v>
      </c>
      <c r="J7" s="2">
        <f>SUM($J4:J4)</f>
        <v>100</v>
      </c>
      <c r="K7" s="2">
        <f>SUM($J4:K4)</f>
        <v>200</v>
      </c>
      <c r="L7" s="2">
        <f>SUM($J4:L4)</f>
        <v>300</v>
      </c>
      <c r="M7" s="2">
        <f>SUM($J4:M4)</f>
        <v>400</v>
      </c>
      <c r="N7" s="2">
        <f>SUM($J4:N4)</f>
        <v>500</v>
      </c>
      <c r="O7" s="2">
        <f>AVERAGE(J7:N7)</f>
        <v>300</v>
      </c>
      <c r="P7" s="2">
        <f>B21</f>
        <v>2.8140000000000001</v>
      </c>
      <c r="Q7" s="2">
        <f>O7*P7</f>
        <v>844.2</v>
      </c>
      <c r="R7" s="1">
        <f>-CRF4B!K4</f>
        <v>23.840434864031057</v>
      </c>
      <c r="S7" s="1">
        <f>R7-P7</f>
        <v>21.026434864031057</v>
      </c>
      <c r="T7" s="1">
        <f>S7*O7</f>
        <v>6307.9304592093167</v>
      </c>
      <c r="U7" s="1">
        <f>T7/1000</f>
        <v>6.3079304592093166</v>
      </c>
    </row>
    <row r="8" spans="1:38" x14ac:dyDescent="0.25">
      <c r="A8" t="s">
        <v>519</v>
      </c>
      <c r="J8" s="2">
        <f>SUM($J5:J5)</f>
        <v>20</v>
      </c>
      <c r="K8" s="2">
        <f>SUM($J5:K5)</f>
        <v>40</v>
      </c>
      <c r="L8" s="2">
        <f>SUM($J5:L5)</f>
        <v>60</v>
      </c>
      <c r="M8" s="2">
        <f>SUM($J5:M5)</f>
        <v>80</v>
      </c>
      <c r="N8" s="2">
        <f>SUM($J5:N5)</f>
        <v>100</v>
      </c>
      <c r="O8" s="2">
        <f t="shared" ref="O8:O9" si="1">AVERAGE(J8:N8)</f>
        <v>60</v>
      </c>
      <c r="P8" s="2">
        <f>B22</f>
        <v>7.5</v>
      </c>
      <c r="Q8" s="2">
        <f t="shared" ref="Q8:Q9" si="2">O8*P8</f>
        <v>450</v>
      </c>
      <c r="R8" s="1">
        <f>-CRF4B!K4</f>
        <v>23.840434864031057</v>
      </c>
      <c r="S8" s="1">
        <f t="shared" ref="S8:S9" si="3">R8-P8</f>
        <v>16.340434864031057</v>
      </c>
      <c r="T8" s="1">
        <f t="shared" ref="T8:T9" si="4">S8*O8</f>
        <v>980.42609184186335</v>
      </c>
      <c r="U8" s="1">
        <f t="shared" ref="U8:U9" si="5">T8/1000</f>
        <v>0.98042609184186336</v>
      </c>
    </row>
    <row r="9" spans="1:38" x14ac:dyDescent="0.25">
      <c r="A9" t="s">
        <v>520</v>
      </c>
      <c r="J9" s="2">
        <f>SUM($J6:J6)</f>
        <v>180</v>
      </c>
      <c r="K9" s="2">
        <f>SUM($J6:K6)</f>
        <v>360</v>
      </c>
      <c r="L9" s="2">
        <f>SUM($J6:L6)</f>
        <v>540</v>
      </c>
      <c r="M9" s="2">
        <f>SUM($J6:M6)</f>
        <v>720</v>
      </c>
      <c r="N9" s="2">
        <f>SUM($J6:N6)</f>
        <v>900</v>
      </c>
      <c r="O9" s="2">
        <f t="shared" si="1"/>
        <v>540</v>
      </c>
      <c r="P9" s="2">
        <f>B22</f>
        <v>7.5</v>
      </c>
      <c r="Q9" s="2">
        <f t="shared" si="2"/>
        <v>4050</v>
      </c>
      <c r="R9" s="7">
        <f>-CRF4B!J4</f>
        <v>0.30552932107430331</v>
      </c>
      <c r="S9" s="1">
        <f t="shared" si="3"/>
        <v>-7.1944706789256969</v>
      </c>
      <c r="T9" s="1">
        <f t="shared" si="4"/>
        <v>-3885.0141666198765</v>
      </c>
      <c r="U9" s="1">
        <f t="shared" si="5"/>
        <v>-3.8850141666198765</v>
      </c>
    </row>
    <row r="10" spans="1:38" x14ac:dyDescent="0.25">
      <c r="A10" t="s">
        <v>516</v>
      </c>
      <c r="B10" s="7">
        <f>SUM(U7:U9)</f>
        <v>3.4033423844313035</v>
      </c>
      <c r="J10" s="2"/>
      <c r="K10" s="2"/>
      <c r="L10" s="2"/>
      <c r="M10" s="2"/>
      <c r="N10" s="2"/>
      <c r="T10" s="1"/>
    </row>
    <row r="11" spans="1:38" x14ac:dyDescent="0.25">
      <c r="A11" t="s">
        <v>517</v>
      </c>
      <c r="B11" s="7">
        <f>(1000*B10)/SUM(O7:O9)</f>
        <v>3.7814915382570038</v>
      </c>
      <c r="J11" s="2"/>
      <c r="K11" s="2"/>
      <c r="L11" s="2"/>
      <c r="M11" s="2"/>
      <c r="N11" s="2"/>
    </row>
    <row r="12" spans="1:38" x14ac:dyDescent="0.25">
      <c r="A12" t="s">
        <v>521</v>
      </c>
      <c r="B12" s="7"/>
      <c r="J12" s="2">
        <f>J7</f>
        <v>100</v>
      </c>
      <c r="K12" s="2">
        <f t="shared" ref="K12:N12" si="6">K7</f>
        <v>200</v>
      </c>
      <c r="L12" s="2">
        <f t="shared" si="6"/>
        <v>300</v>
      </c>
      <c r="M12" s="2">
        <f t="shared" si="6"/>
        <v>400</v>
      </c>
      <c r="N12" s="2">
        <f t="shared" si="6"/>
        <v>500</v>
      </c>
      <c r="O12" s="2">
        <f>AVERAGE(J12:N12)</f>
        <v>300</v>
      </c>
      <c r="P12">
        <v>0</v>
      </c>
      <c r="Q12" s="2">
        <f>O12*P12</f>
        <v>0</v>
      </c>
      <c r="R12" s="7">
        <f>CRF3D!F17</f>
        <v>4.5787107857617988</v>
      </c>
      <c r="S12" s="1">
        <f>R12-P12</f>
        <v>4.5787107857617988</v>
      </c>
      <c r="T12" s="1">
        <f>S12*O12</f>
        <v>1373.6132357285396</v>
      </c>
      <c r="U12" s="7">
        <f>T12/1000</f>
        <v>1.3736132357285395</v>
      </c>
    </row>
    <row r="13" spans="1:38" x14ac:dyDescent="0.25">
      <c r="A13" t="s">
        <v>522</v>
      </c>
      <c r="B13" s="7"/>
      <c r="J13" s="2">
        <f t="shared" ref="J13:N14" si="7">J8</f>
        <v>20</v>
      </c>
      <c r="K13" s="2">
        <f t="shared" si="7"/>
        <v>40</v>
      </c>
      <c r="L13" s="2">
        <f t="shared" si="7"/>
        <v>60</v>
      </c>
      <c r="M13" s="2">
        <f t="shared" si="7"/>
        <v>80</v>
      </c>
      <c r="N13" s="2">
        <f t="shared" si="7"/>
        <v>100</v>
      </c>
      <c r="O13" s="2">
        <f t="shared" ref="O13:O14" si="8">AVERAGE(J13:N13)</f>
        <v>60</v>
      </c>
      <c r="P13">
        <v>0</v>
      </c>
      <c r="Q13" s="2">
        <f t="shared" ref="Q13:Q14" si="9">O13*P13</f>
        <v>0</v>
      </c>
      <c r="R13" s="7">
        <f>CRF3D!F17</f>
        <v>4.5787107857617988</v>
      </c>
      <c r="S13" s="1">
        <f t="shared" ref="S13:S14" si="10">R13-P13</f>
        <v>4.5787107857617988</v>
      </c>
      <c r="T13" s="1">
        <f t="shared" ref="T13" si="11">S13*O13</f>
        <v>274.72264714570792</v>
      </c>
      <c r="U13" s="7">
        <f t="shared" ref="U13:U14" si="12">T13/1000</f>
        <v>0.27472264714570793</v>
      </c>
    </row>
    <row r="14" spans="1:38" x14ac:dyDescent="0.25">
      <c r="A14" t="s">
        <v>523</v>
      </c>
      <c r="B14" s="7"/>
      <c r="J14" s="2">
        <f t="shared" si="7"/>
        <v>180</v>
      </c>
      <c r="K14" s="2">
        <f t="shared" si="7"/>
        <v>360</v>
      </c>
      <c r="L14" s="2">
        <f t="shared" si="7"/>
        <v>540</v>
      </c>
      <c r="M14" s="2">
        <f t="shared" si="7"/>
        <v>720</v>
      </c>
      <c r="N14" s="2">
        <f t="shared" si="7"/>
        <v>900</v>
      </c>
      <c r="O14" s="2">
        <f t="shared" si="8"/>
        <v>540</v>
      </c>
      <c r="P14">
        <v>0</v>
      </c>
      <c r="Q14" s="2">
        <f t="shared" si="9"/>
        <v>0</v>
      </c>
      <c r="R14" s="7">
        <v>0</v>
      </c>
      <c r="S14" s="1">
        <f t="shared" si="10"/>
        <v>0</v>
      </c>
      <c r="T14" s="1">
        <f t="shared" ref="T14" si="13">S14*O14</f>
        <v>0</v>
      </c>
      <c r="U14" s="7">
        <f t="shared" si="12"/>
        <v>0</v>
      </c>
    </row>
    <row r="15" spans="1:38" x14ac:dyDescent="0.25">
      <c r="A15" t="s">
        <v>525</v>
      </c>
      <c r="B15" s="7">
        <f>SUM(U12:U14)</f>
        <v>1.6483358828742474</v>
      </c>
      <c r="J15" s="2"/>
      <c r="K15" s="2"/>
      <c r="L15" s="2"/>
      <c r="M15" s="2"/>
      <c r="N15" s="2"/>
      <c r="O15" s="2"/>
      <c r="Q15" s="2"/>
      <c r="R15" s="7"/>
      <c r="S15" s="1"/>
    </row>
    <row r="16" spans="1:38" x14ac:dyDescent="0.25">
      <c r="A16" t="s">
        <v>526</v>
      </c>
      <c r="B16" s="7">
        <f>(1000*B15)/SUM(O12:O14)</f>
        <v>1.8314843143047193</v>
      </c>
      <c r="J16" s="2"/>
      <c r="K16" s="2"/>
      <c r="L16" s="2"/>
      <c r="M16" s="2"/>
      <c r="N16" s="2"/>
      <c r="O16" s="2"/>
      <c r="Q16" s="2"/>
      <c r="R16" s="7"/>
      <c r="S16" s="1"/>
    </row>
    <row r="17" spans="1:15" x14ac:dyDescent="0.25">
      <c r="A17" t="s">
        <v>584</v>
      </c>
      <c r="B17" s="7">
        <f>SUM(B15,huuhtouma!H17/1000)</f>
        <v>1.8190260257313902</v>
      </c>
      <c r="J17" s="2"/>
      <c r="K17" s="2"/>
      <c r="L17" s="2"/>
      <c r="M17" s="2"/>
      <c r="N17" s="2"/>
    </row>
    <row r="18" spans="1:15" x14ac:dyDescent="0.25">
      <c r="A18" t="s">
        <v>585</v>
      </c>
      <c r="B18" s="7">
        <f>SUM(B16,huuhtouma!F17)</f>
        <v>2.0211400285904335</v>
      </c>
      <c r="O18" s="2"/>
    </row>
    <row r="20" spans="1:15" ht="15" customHeight="1" x14ac:dyDescent="0.25">
      <c r="B20" t="s">
        <v>163</v>
      </c>
      <c r="C20" t="s">
        <v>159</v>
      </c>
    </row>
    <row r="21" spans="1:15" x14ac:dyDescent="0.25">
      <c r="A21" t="s">
        <v>505</v>
      </c>
      <c r="B21" s="5">
        <f>SUM('org&amp;wetland_päästökertoimet'!N15:N18)</f>
        <v>2.8140000000000001</v>
      </c>
      <c r="C21">
        <f>SUM('org&amp;wetland_päästökertoimet'!N15:N16,'org&amp;wetland_päästökertoimet'!N17/25*28)</f>
        <v>3.3620000000000001</v>
      </c>
      <c r="D21" t="s">
        <v>507</v>
      </c>
    </row>
    <row r="22" spans="1:15" x14ac:dyDescent="0.25">
      <c r="A22" t="s">
        <v>508</v>
      </c>
      <c r="B22" s="1">
        <f>'org&amp;wetland_päästökertoimet'!N19</f>
        <v>7.5</v>
      </c>
      <c r="C22">
        <f>'org&amp;wetland_päästökertoimet'!N19/25*28</f>
        <v>8.4</v>
      </c>
      <c r="D22" t="s">
        <v>507</v>
      </c>
    </row>
    <row r="24" spans="1:15" ht="57" customHeight="1" x14ac:dyDescent="0.25">
      <c r="A24" s="234" t="s">
        <v>506</v>
      </c>
      <c r="B24" s="235"/>
      <c r="C24" s="235"/>
      <c r="D24" s="235"/>
      <c r="E24" s="235"/>
    </row>
    <row r="25" spans="1:15" ht="16.350000000000001" customHeight="1" x14ac:dyDescent="0.25"/>
    <row r="26" spans="1:15" x14ac:dyDescent="0.25">
      <c r="C26" s="71" t="s">
        <v>625</v>
      </c>
      <c r="D26" s="71" t="s">
        <v>512</v>
      </c>
      <c r="E26" s="71" t="s">
        <v>514</v>
      </c>
    </row>
    <row r="27" spans="1:15" x14ac:dyDescent="0.25">
      <c r="A27" t="s">
        <v>518</v>
      </c>
      <c r="C27" s="1">
        <f>R7-C21</f>
        <v>20.478434864031058</v>
      </c>
      <c r="D27" s="1">
        <f>C27*O7</f>
        <v>6143.5304592093171</v>
      </c>
      <c r="E27" s="7">
        <f>D27/1000</f>
        <v>6.143530459209317</v>
      </c>
    </row>
    <row r="28" spans="1:15" x14ac:dyDescent="0.25">
      <c r="A28" t="s">
        <v>519</v>
      </c>
      <c r="C28" s="1">
        <f>R8-C22</f>
        <v>15.440434864031056</v>
      </c>
      <c r="D28" s="1">
        <f>C28*O8</f>
        <v>926.42609184186335</v>
      </c>
      <c r="E28" s="7">
        <f t="shared" ref="E28:E29" si="14">D28/1000</f>
        <v>0.92642609184186331</v>
      </c>
    </row>
    <row r="29" spans="1:15" x14ac:dyDescent="0.25">
      <c r="A29" t="s">
        <v>520</v>
      </c>
      <c r="C29" s="7">
        <f>R9-C22</f>
        <v>-8.0944706789256973</v>
      </c>
      <c r="D29" s="1">
        <f>C29*O9</f>
        <v>-4371.014166619877</v>
      </c>
      <c r="E29" s="7">
        <f t="shared" si="14"/>
        <v>-4.3710141666198767</v>
      </c>
    </row>
    <row r="30" spans="1:15" x14ac:dyDescent="0.25">
      <c r="A30" t="s">
        <v>516</v>
      </c>
      <c r="E30" s="7">
        <f>SUM(E27:E29)</f>
        <v>2.6989423844313034</v>
      </c>
    </row>
  </sheetData>
  <mergeCells count="1">
    <mergeCell ref="A24:E24"/>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3cf92efc90fd97c5548b5b3f6d259d45">
  <xsd:schema xmlns:xsd="http://www.w3.org/2001/XMLSchema" xmlns:xs="http://www.w3.org/2001/XMLSchema" xmlns:p="http://schemas.microsoft.com/office/2006/metadata/properties" xmlns:ns2="ebb82943-49da-4504-a2f3-a33fb2eb95f1" targetNamespace="http://schemas.microsoft.com/office/2006/metadata/properties" ma:root="true" ma:fieldsID="73a7f945de27690f0e5612b79736f6f4"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FD1911-937D-48D0-A3F5-FE37C1CFB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DCE546-5192-4233-A1AE-65867062E2D6}">
  <ds:schemaRefs>
    <ds:schemaRef ds:uri="http://schemas.microsoft.com/sharepoint/v3/contenttype/forms"/>
  </ds:schemaRefs>
</ds:datastoreItem>
</file>

<file path=customXml/itemProps3.xml><?xml version="1.0" encoding="utf-8"?>
<ds:datastoreItem xmlns:ds="http://schemas.openxmlformats.org/officeDocument/2006/customXml" ds:itemID="{2E67784D-7C16-4A0D-81F1-07C071D3C36D}">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ebb82943-49da-4504-a2f3-a33fb2eb95f1"/>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18</vt:i4>
      </vt:variant>
    </vt:vector>
  </HeadingPairs>
  <TitlesOfParts>
    <vt:vector size="18" baseType="lpstr">
      <vt:lpstr>Lue tämä ensin</vt:lpstr>
      <vt:lpstr>toimet</vt:lpstr>
      <vt:lpstr>kokooma</vt:lpstr>
      <vt:lpstr>nurmet_kerääjäk_maanparannusk</vt:lpstr>
      <vt:lpstr>lietelannan sijoittaminen</vt:lpstr>
      <vt:lpstr>huuhtouma</vt:lpstr>
      <vt:lpstr>raivaus</vt:lpstr>
      <vt:lpstr>valumavesien_hallinta</vt:lpstr>
      <vt:lpstr>kosteikot</vt:lpstr>
      <vt:lpstr>org&amp;wetland_päästökertoimet</vt:lpstr>
      <vt:lpstr>CRF4.1</vt:lpstr>
      <vt:lpstr>CRF4A</vt:lpstr>
      <vt:lpstr>CRF4(II)</vt:lpstr>
      <vt:lpstr>CRF4(III)</vt:lpstr>
      <vt:lpstr>CRF4B</vt:lpstr>
      <vt:lpstr>CRF3D</vt:lpstr>
      <vt:lpstr>ympkorv_maatalousmaan_</vt:lpstr>
      <vt:lpstr>GWP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Maanavilja Liisa (LUKE)</dc:creator>
  <cp:lastModifiedBy>Pehkonen Eero (MMM)</cp:lastModifiedBy>
  <dcterms:created xsi:type="dcterms:W3CDTF">2021-06-02T06:33:58Z</dcterms:created>
  <dcterms:modified xsi:type="dcterms:W3CDTF">2021-08-31T07:36:14Z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